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oiz\OneDrive\바탕 화면\"/>
    </mc:Choice>
  </mc:AlternateContent>
  <xr:revisionPtr revIDLastSave="0" documentId="13_ncr:1_{DC0FD981-5DD3-485C-B2A3-5F03DBBE7A35}" xr6:coauthVersionLast="47" xr6:coauthVersionMax="47" xr10:uidLastSave="{00000000-0000-0000-0000-000000000000}"/>
  <bookViews>
    <workbookView xWindow="-108" yWindow="-108" windowWidth="23256" windowHeight="12456" tabRatio="802" xr2:uid="{00000000-000D-0000-FFFF-FFFF00000000}"/>
  </bookViews>
  <sheets>
    <sheet name="3-1 data" sheetId="1" r:id="rId1"/>
    <sheet name="3-1 stat" sheetId="3" r:id="rId2"/>
    <sheet name="3-2 분산투자" sheetId="4" r:id="rId3"/>
    <sheet name="3-3 수익률" sheetId="5" r:id="rId4"/>
    <sheet name="4-1 CAL" sheetId="6" r:id="rId5"/>
    <sheet name="4-2 포트폴리오 구성" sheetId="8" r:id="rId6"/>
    <sheet name="4-3 EGP 알고리즘" sheetId="9" r:id="rId7"/>
    <sheet name="4-4 solver" sheetId="10" r:id="rId8"/>
    <sheet name="5-1 시장모형" sheetId="11" r:id="rId9"/>
    <sheet name="5-2 베타 사례" sheetId="12" r:id="rId10"/>
    <sheet name="8-1 채권가격" sheetId="14" r:id="rId11"/>
    <sheet name="8-2 듀레이션" sheetId="15" r:id="rId12"/>
    <sheet name="8-3 채권면역" sheetId="16" r:id="rId13"/>
    <sheet name="9-1 이항분포" sheetId="18" r:id="rId14"/>
    <sheet name="9-2 블랙숄즈" sheetId="17" r:id="rId15"/>
    <sheet name="13-1 rebalancing" sheetId="19" r:id="rId16"/>
    <sheet name="13-2 가중수익률" sheetId="20" r:id="rId17"/>
    <sheet name="13-3 산술평균기하평균" sheetId="21" r:id="rId18"/>
  </sheets>
  <definedNames>
    <definedName name="solver_adj" localSheetId="7" hidden="1">'4-4 solver'!$D$7:$D$9</definedName>
    <definedName name="solver_adj" localSheetId="12" hidden="1">'8-3 채권면역'!$E$10</definedName>
    <definedName name="solver_cvg" localSheetId="7" hidden="1">0.0001</definedName>
    <definedName name="solver_cvg" localSheetId="12" hidden="1">0.0001</definedName>
    <definedName name="solver_drv" localSheetId="7" hidden="1">1</definedName>
    <definedName name="solver_drv" localSheetId="12" hidden="1">1</definedName>
    <definedName name="solver_eng" localSheetId="7" hidden="1">1</definedName>
    <definedName name="solver_eng" localSheetId="12" hidden="1">1</definedName>
    <definedName name="solver_est" localSheetId="7" hidden="1">1</definedName>
    <definedName name="solver_est" localSheetId="12" hidden="1">1</definedName>
    <definedName name="solver_ibd" localSheetId="7" hidden="1">2</definedName>
    <definedName name="solver_itr" localSheetId="7" hidden="1">100</definedName>
    <definedName name="solver_itr" localSheetId="12" hidden="1">100</definedName>
    <definedName name="solver_lhs1" localSheetId="7" hidden="1">'4-4 solver'!$D$7:$D$9</definedName>
    <definedName name="solver_lhs2" localSheetId="7" hidden="1">'4-4 solver'!$D$10</definedName>
    <definedName name="solver_lin" localSheetId="7" hidden="1">2</definedName>
    <definedName name="solver_lin" localSheetId="12" hidden="1">2</definedName>
    <definedName name="solver_lva" localSheetId="7" hidden="1">2</definedName>
    <definedName name="solver_mip" localSheetId="7" hidden="1">5000</definedName>
    <definedName name="solver_mip" localSheetId="12" hidden="1">2147483647</definedName>
    <definedName name="solver_mni" localSheetId="7" hidden="1">30</definedName>
    <definedName name="solver_mni" localSheetId="12" hidden="1">30</definedName>
    <definedName name="solver_mrt" localSheetId="7" hidden="1">0.075</definedName>
    <definedName name="solver_mrt" localSheetId="12" hidden="1">0.075</definedName>
    <definedName name="solver_msl" localSheetId="7" hidden="1">2</definedName>
    <definedName name="solver_msl" localSheetId="12" hidden="1">2</definedName>
    <definedName name="solver_neg" localSheetId="7" hidden="1">1</definedName>
    <definedName name="solver_neg" localSheetId="12" hidden="1">1</definedName>
    <definedName name="solver_nod" localSheetId="7" hidden="1">5000</definedName>
    <definedName name="solver_nod" localSheetId="12" hidden="1">2147483647</definedName>
    <definedName name="solver_num" localSheetId="7" hidden="1">2</definedName>
    <definedName name="solver_num" localSheetId="12" hidden="1">0</definedName>
    <definedName name="solver_nwt" localSheetId="7" hidden="1">1</definedName>
    <definedName name="solver_nwt" localSheetId="12" hidden="1">1</definedName>
    <definedName name="solver_ofx" localSheetId="7" hidden="1">2</definedName>
    <definedName name="solver_opt" localSheetId="7" hidden="1">'4-4 solver'!$B$25</definedName>
    <definedName name="solver_piv" localSheetId="7" hidden="1">0.000001</definedName>
    <definedName name="solver_pre" localSheetId="7" hidden="1">0.000001</definedName>
    <definedName name="solver_pre" localSheetId="12" hidden="1">0.000001</definedName>
    <definedName name="solver_pro" localSheetId="7" hidden="1">2</definedName>
    <definedName name="solver_rbv" localSheetId="7" hidden="1">1</definedName>
    <definedName name="solver_rbv" localSheetId="12" hidden="1">1</definedName>
    <definedName name="solver_red" localSheetId="7" hidden="1">0.000001</definedName>
    <definedName name="solver_rel1" localSheetId="7" hidden="1">1</definedName>
    <definedName name="solver_rel2" localSheetId="7" hidden="1">2</definedName>
    <definedName name="solver_reo" localSheetId="7" hidden="1">2</definedName>
    <definedName name="solver_rep" localSheetId="7" hidden="1">2</definedName>
    <definedName name="solver_rhs1" localSheetId="7" hidden="1">'4-4 solver'!$F$7:$F$9</definedName>
    <definedName name="solver_rhs2" localSheetId="7" hidden="1">'4-4 solver'!$F$10</definedName>
    <definedName name="solver_rlx" localSheetId="7" hidden="1">2</definedName>
    <definedName name="solver_rlx" localSheetId="12" hidden="1">1</definedName>
    <definedName name="solver_rsd" localSheetId="7" hidden="1">0</definedName>
    <definedName name="solver_rsd" localSheetId="12" hidden="1">0</definedName>
    <definedName name="solver_scl" localSheetId="7" hidden="1">2</definedName>
    <definedName name="solver_scl" localSheetId="12" hidden="1">2</definedName>
    <definedName name="solver_sho" localSheetId="7" hidden="1">2</definedName>
    <definedName name="solver_sho" localSheetId="12" hidden="1">2</definedName>
    <definedName name="solver_ssz" localSheetId="7" hidden="1">100</definedName>
    <definedName name="solver_ssz" localSheetId="12" hidden="1">100</definedName>
    <definedName name="solver_std" localSheetId="7" hidden="1">1</definedName>
    <definedName name="solver_tim" localSheetId="7" hidden="1">100</definedName>
    <definedName name="solver_tim" localSheetId="12" hidden="1">100</definedName>
    <definedName name="solver_tol" localSheetId="7" hidden="1">0.0005</definedName>
    <definedName name="solver_tol" localSheetId="12" hidden="1">0.05</definedName>
    <definedName name="solver_typ" localSheetId="7" hidden="1">1</definedName>
    <definedName name="solver_typ" localSheetId="12" hidden="1">3</definedName>
    <definedName name="solver_val" localSheetId="7" hidden="1">0</definedName>
    <definedName name="solver_val" localSheetId="12" hidden="1">0</definedName>
    <definedName name="solver_ver" localSheetId="7" hidden="1">3</definedName>
    <definedName name="solver_ver" localSheetId="12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8" l="1"/>
  <c r="B7" i="18" s="1"/>
  <c r="D8" i="15"/>
  <c r="B25" i="15"/>
  <c r="B40" i="14"/>
  <c r="B39" i="14"/>
  <c r="B38" i="14"/>
  <c r="B37" i="14"/>
  <c r="B36" i="14"/>
  <c r="B9" i="14"/>
  <c r="B5" i="21"/>
  <c r="C5" i="21" s="1"/>
  <c r="B4" i="21"/>
  <c r="B7" i="21" s="1"/>
  <c r="D15" i="20"/>
  <c r="D14" i="20"/>
  <c r="D7" i="20"/>
  <c r="D6" i="20"/>
  <c r="D5" i="20"/>
  <c r="C21" i="19"/>
  <c r="B21" i="19"/>
  <c r="C14" i="19"/>
  <c r="C17" i="19" s="1"/>
  <c r="B14" i="19"/>
  <c r="E14" i="19" l="1"/>
  <c r="F14" i="19" s="1"/>
  <c r="F21" i="19"/>
  <c r="C23" i="19" s="1"/>
  <c r="B15" i="19"/>
  <c r="C15" i="19"/>
  <c r="B16" i="19"/>
  <c r="C16" i="19"/>
  <c r="B9" i="20"/>
  <c r="B17" i="20"/>
  <c r="C4" i="21"/>
  <c r="B8" i="21"/>
  <c r="B18" i="19"/>
  <c r="D21" i="19"/>
  <c r="G21" i="19" s="1"/>
  <c r="C18" i="19"/>
  <c r="E21" i="19"/>
  <c r="D14" i="19"/>
  <c r="G14" i="19" s="1"/>
  <c r="B17" i="19"/>
  <c r="F26" i="18"/>
  <c r="F27" i="18" s="1"/>
  <c r="F23" i="18"/>
  <c r="F24" i="18" s="1"/>
  <c r="D23" i="18"/>
  <c r="B21" i="18"/>
  <c r="F20" i="18"/>
  <c r="F21" i="18" s="1"/>
  <c r="D20" i="18"/>
  <c r="F17" i="18"/>
  <c r="F18" i="18" s="1"/>
  <c r="D12" i="18"/>
  <c r="D13" i="18" s="1"/>
  <c r="B11" i="18"/>
  <c r="D9" i="18"/>
  <c r="D10" i="18" s="1"/>
  <c r="D15" i="19" l="1"/>
  <c r="G15" i="19" s="1"/>
  <c r="C24" i="19"/>
  <c r="C25" i="19"/>
  <c r="C22" i="19"/>
  <c r="D21" i="18"/>
  <c r="B12" i="18"/>
  <c r="D16" i="19"/>
  <c r="G16" i="19" s="1"/>
  <c r="E16" i="19"/>
  <c r="F16" i="19" s="1"/>
  <c r="E15" i="19"/>
  <c r="F15" i="19" s="1"/>
  <c r="E18" i="19"/>
  <c r="F18" i="19" s="1"/>
  <c r="D18" i="19"/>
  <c r="G18" i="19" s="1"/>
  <c r="E17" i="19"/>
  <c r="F17" i="19" s="1"/>
  <c r="D17" i="19"/>
  <c r="G17" i="19" s="1"/>
  <c r="B23" i="19"/>
  <c r="B22" i="19"/>
  <c r="B24" i="19"/>
  <c r="B25" i="19"/>
  <c r="D24" i="18"/>
  <c r="B29" i="18"/>
  <c r="B19" i="17"/>
  <c r="B16" i="17"/>
  <c r="B9" i="17"/>
  <c r="B11" i="17" s="1"/>
  <c r="B6" i="17"/>
  <c r="B22" i="18" l="1"/>
  <c r="F25" i="19"/>
  <c r="E25" i="19"/>
  <c r="D25" i="19"/>
  <c r="G25" i="19" s="1"/>
  <c r="E22" i="19"/>
  <c r="D22" i="19"/>
  <c r="G22" i="19" s="1"/>
  <c r="F22" i="19"/>
  <c r="E24" i="19"/>
  <c r="D24" i="19"/>
  <c r="G24" i="19" s="1"/>
  <c r="F24" i="19"/>
  <c r="D23" i="19"/>
  <c r="G23" i="19" s="1"/>
  <c r="F23" i="19"/>
  <c r="E23" i="19"/>
  <c r="B10" i="17"/>
  <c r="B12" i="17" s="1"/>
  <c r="B14" i="17" s="1"/>
  <c r="B20" i="17" s="1"/>
  <c r="D15" i="16"/>
  <c r="E15" i="16" s="1"/>
  <c r="F10" i="16"/>
  <c r="E11" i="16" s="1"/>
  <c r="E12" i="16" s="1"/>
  <c r="F9" i="16"/>
  <c r="F8" i="16"/>
  <c r="E8" i="16"/>
  <c r="C12" i="15"/>
  <c r="D12" i="15" s="1"/>
  <c r="C11" i="15"/>
  <c r="D11" i="15" s="1"/>
  <c r="C10" i="15"/>
  <c r="D10" i="15" s="1"/>
  <c r="C9" i="15"/>
  <c r="D9" i="15" s="1"/>
  <c r="C8" i="15"/>
  <c r="B6" i="14"/>
  <c r="B7" i="14"/>
  <c r="B8" i="14"/>
  <c r="B10" i="14"/>
  <c r="B16" i="14"/>
  <c r="B17" i="14"/>
  <c r="B18" i="14"/>
  <c r="B19" i="14"/>
  <c r="B20" i="14"/>
  <c r="F15" i="16" l="1"/>
  <c r="F16" i="16" s="1"/>
  <c r="E16" i="16"/>
  <c r="D24" i="16" s="1"/>
  <c r="B13" i="17"/>
  <c r="E24" i="16"/>
  <c r="D13" i="15"/>
  <c r="E8" i="15" s="1"/>
  <c r="C28" i="12"/>
  <c r="D28" i="12"/>
  <c r="B28" i="12"/>
  <c r="C27" i="12"/>
  <c r="D27" i="12"/>
  <c r="B27" i="12"/>
  <c r="C26" i="16" l="1"/>
  <c r="F24" i="16"/>
  <c r="D26" i="16"/>
  <c r="G25" i="16"/>
  <c r="F22" i="16"/>
  <c r="E22" i="16"/>
  <c r="D22" i="16"/>
  <c r="C22" i="16"/>
  <c r="G22" i="16"/>
  <c r="G24" i="16"/>
  <c r="E26" i="16"/>
  <c r="C25" i="16"/>
  <c r="F26" i="16"/>
  <c r="D25" i="16"/>
  <c r="G26" i="16"/>
  <c r="E25" i="16"/>
  <c r="C24" i="16"/>
  <c r="F25" i="16"/>
  <c r="F20" i="17"/>
  <c r="B17" i="17"/>
  <c r="K20" i="17"/>
  <c r="H2" i="17"/>
  <c r="I20" i="17"/>
  <c r="F2" i="17"/>
  <c r="E12" i="15"/>
  <c r="F12" i="15" s="1"/>
  <c r="E11" i="15"/>
  <c r="F11" i="15" s="1"/>
  <c r="F8" i="15"/>
  <c r="E10" i="15"/>
  <c r="F10" i="15" s="1"/>
  <c r="E9" i="15"/>
  <c r="F9" i="15" s="1"/>
  <c r="B19" i="10"/>
  <c r="F13" i="10" a="1"/>
  <c r="H13" i="10" s="1"/>
  <c r="D10" i="10"/>
  <c r="B24" i="9"/>
  <c r="B23" i="9"/>
  <c r="B22" i="9"/>
  <c r="B17" i="9" a="1"/>
  <c r="B19" i="9" s="1"/>
  <c r="F14" i="8"/>
  <c r="F15" i="8"/>
  <c r="F18" i="8"/>
  <c r="F19" i="8"/>
  <c r="F9" i="8"/>
  <c r="E12" i="8"/>
  <c r="E15" i="8"/>
  <c r="E16" i="8"/>
  <c r="E17" i="8"/>
  <c r="D10" i="8"/>
  <c r="F10" i="8" s="1"/>
  <c r="D11" i="8"/>
  <c r="F11" i="8" s="1"/>
  <c r="D12" i="8"/>
  <c r="F12" i="8" s="1"/>
  <c r="D13" i="8"/>
  <c r="E13" i="8" s="1"/>
  <c r="D14" i="8"/>
  <c r="E14" i="8" s="1"/>
  <c r="D15" i="8"/>
  <c r="D16" i="8"/>
  <c r="F16" i="8" s="1"/>
  <c r="D17" i="8"/>
  <c r="F17" i="8" s="1"/>
  <c r="D18" i="8"/>
  <c r="E18" i="8" s="1"/>
  <c r="D19" i="8"/>
  <c r="E19" i="8" s="1"/>
  <c r="D9" i="8"/>
  <c r="E9" i="8" s="1"/>
  <c r="C39" i="8"/>
  <c r="D31" i="8"/>
  <c r="C33" i="8" s="1"/>
  <c r="C23" i="8"/>
  <c r="D23" i="8" s="1"/>
  <c r="C26" i="8" s="1"/>
  <c r="E27" i="16" l="1"/>
  <c r="C27" i="16"/>
  <c r="G27" i="16"/>
  <c r="F27" i="16"/>
  <c r="D27" i="16"/>
  <c r="E11" i="8"/>
  <c r="E10" i="8"/>
  <c r="G20" i="17"/>
  <c r="I2" i="17"/>
  <c r="F13" i="15"/>
  <c r="E13" i="15"/>
  <c r="F13" i="8"/>
  <c r="F13" i="10"/>
  <c r="G13" i="10"/>
  <c r="C18" i="9"/>
  <c r="C17" i="9"/>
  <c r="C19" i="9"/>
  <c r="D17" i="9"/>
  <c r="D19" i="9"/>
  <c r="B18" i="9"/>
  <c r="D18" i="9"/>
  <c r="B17" i="9"/>
  <c r="C34" i="8"/>
  <c r="C35" i="8" s="1"/>
  <c r="D39" i="8"/>
  <c r="C42" i="8" s="1"/>
  <c r="C25" i="8"/>
  <c r="C27" i="8" s="1"/>
  <c r="J6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10" i="6"/>
  <c r="F6" i="6"/>
  <c r="G22" i="6" s="1"/>
  <c r="G5" i="6"/>
  <c r="F5" i="6"/>
  <c r="F4" i="6"/>
  <c r="G4" i="6"/>
  <c r="B27" i="9" l="1" a="1"/>
  <c r="B29" i="9" s="1"/>
  <c r="F15" i="10" a="1"/>
  <c r="F15" i="10" s="1"/>
  <c r="C41" i="8"/>
  <c r="B52" i="8" s="1"/>
  <c r="C43" i="8"/>
  <c r="G11" i="6"/>
  <c r="G16" i="6"/>
  <c r="G10" i="6"/>
  <c r="G20" i="6"/>
  <c r="G14" i="6"/>
  <c r="G25" i="6"/>
  <c r="G19" i="6"/>
  <c r="G13" i="6"/>
  <c r="G21" i="6"/>
  <c r="G15" i="6"/>
  <c r="G24" i="6"/>
  <c r="G18" i="6"/>
  <c r="G12" i="6"/>
  <c r="G23" i="6"/>
  <c r="G17" i="6"/>
  <c r="F16" i="6"/>
  <c r="F10" i="6"/>
  <c r="F20" i="6"/>
  <c r="F14" i="6"/>
  <c r="F21" i="6"/>
  <c r="F15" i="6"/>
  <c r="F24" i="6"/>
  <c r="F18" i="6"/>
  <c r="F12" i="6"/>
  <c r="F23" i="6"/>
  <c r="F17" i="6"/>
  <c r="F11" i="6"/>
  <c r="F25" i="6"/>
  <c r="F19" i="6"/>
  <c r="F13" i="6"/>
  <c r="F22" i="6"/>
  <c r="F7" i="6"/>
  <c r="S45" i="5"/>
  <c r="S53" i="5"/>
  <c r="S52" i="5"/>
  <c r="S51" i="5"/>
  <c r="S50" i="5"/>
  <c r="S49" i="5"/>
  <c r="S48" i="5"/>
  <c r="S47" i="5"/>
  <c r="S46" i="5"/>
  <c r="S44" i="5"/>
  <c r="C56" i="8" l="1"/>
  <c r="E52" i="8"/>
  <c r="D52" i="8"/>
  <c r="C52" i="8"/>
  <c r="C55" i="8" s="1"/>
  <c r="B27" i="9"/>
  <c r="B28" i="9"/>
  <c r="G15" i="10"/>
  <c r="H15" i="10"/>
  <c r="B34" i="9"/>
  <c r="T53" i="5"/>
  <c r="T52" i="5"/>
  <c r="T51" i="5"/>
  <c r="T50" i="5"/>
  <c r="T49" i="5"/>
  <c r="T48" i="5"/>
  <c r="T47" i="5"/>
  <c r="T46" i="5"/>
  <c r="T45" i="5"/>
  <c r="T44" i="5"/>
  <c r="S40" i="5"/>
  <c r="T40" i="5" s="1"/>
  <c r="S39" i="5"/>
  <c r="T39" i="5" s="1"/>
  <c r="S38" i="5"/>
  <c r="T38" i="5" s="1"/>
  <c r="S37" i="5"/>
  <c r="T37" i="5" s="1"/>
  <c r="S36" i="5"/>
  <c r="T36" i="5" s="1"/>
  <c r="S35" i="5"/>
  <c r="T35" i="5" s="1"/>
  <c r="S34" i="5"/>
  <c r="T34" i="5" s="1"/>
  <c r="S33" i="5"/>
  <c r="T33" i="5" s="1"/>
  <c r="S32" i="5"/>
  <c r="T32" i="5" s="1"/>
  <c r="S31" i="5"/>
  <c r="T31" i="5" s="1"/>
  <c r="S27" i="5"/>
  <c r="T27" i="5" s="1"/>
  <c r="S26" i="5"/>
  <c r="T26" i="5" s="1"/>
  <c r="S25" i="5"/>
  <c r="T25" i="5" s="1"/>
  <c r="S24" i="5"/>
  <c r="T24" i="5" s="1"/>
  <c r="S23" i="5"/>
  <c r="T23" i="5" s="1"/>
  <c r="S22" i="5"/>
  <c r="T22" i="5" s="1"/>
  <c r="S21" i="5"/>
  <c r="T21" i="5" s="1"/>
  <c r="S20" i="5"/>
  <c r="T20" i="5" s="1"/>
  <c r="S19" i="5"/>
  <c r="T19" i="5" s="1"/>
  <c r="S18" i="5"/>
  <c r="T18" i="5" s="1"/>
  <c r="S14" i="5"/>
  <c r="T14" i="5" s="1"/>
  <c r="S13" i="5"/>
  <c r="T13" i="5" s="1"/>
  <c r="S12" i="5"/>
  <c r="T12" i="5" s="1"/>
  <c r="S11" i="5"/>
  <c r="T11" i="5" s="1"/>
  <c r="S10" i="5"/>
  <c r="T10" i="5" s="1"/>
  <c r="S9" i="5"/>
  <c r="T9" i="5" s="1"/>
  <c r="S8" i="5"/>
  <c r="T8" i="5" s="1"/>
  <c r="S7" i="5"/>
  <c r="T7" i="5" s="1"/>
  <c r="S6" i="5"/>
  <c r="T6" i="5" s="1"/>
  <c r="S5" i="5"/>
  <c r="T5" i="5" s="1"/>
  <c r="C17" i="4"/>
  <c r="E17" i="4" s="1"/>
  <c r="C16" i="4"/>
  <c r="D16" i="4" s="1"/>
  <c r="C15" i="4"/>
  <c r="E15" i="4" s="1"/>
  <c r="C14" i="4"/>
  <c r="E14" i="4" s="1"/>
  <c r="C13" i="4"/>
  <c r="E13" i="4" s="1"/>
  <c r="C12" i="4"/>
  <c r="E12" i="4" s="1"/>
  <c r="C11" i="4"/>
  <c r="E11" i="4" s="1"/>
  <c r="C10" i="4"/>
  <c r="E10" i="4" s="1"/>
  <c r="C9" i="4"/>
  <c r="D9" i="4" s="1"/>
  <c r="C8" i="4"/>
  <c r="E8" i="4" s="1"/>
  <c r="C7" i="4"/>
  <c r="E7" i="4" s="1"/>
  <c r="D17" i="4" l="1"/>
  <c r="B32" i="9"/>
  <c r="D15" i="4"/>
  <c r="D7" i="4"/>
  <c r="E9" i="4"/>
  <c r="D11" i="4"/>
  <c r="B33" i="9"/>
  <c r="D13" i="4"/>
  <c r="B22" i="10"/>
  <c r="B25" i="10" s="1"/>
  <c r="U44" i="5"/>
  <c r="U49" i="5"/>
  <c r="U45" i="5"/>
  <c r="U46" i="5"/>
  <c r="U52" i="5"/>
  <c r="U47" i="5"/>
  <c r="U53" i="5"/>
  <c r="U48" i="5"/>
  <c r="U50" i="5"/>
  <c r="U51" i="5"/>
  <c r="U31" i="5"/>
  <c r="U36" i="5"/>
  <c r="U38" i="5"/>
  <c r="U32" i="5"/>
  <c r="U39" i="5"/>
  <c r="U34" i="5"/>
  <c r="U40" i="5"/>
  <c r="U35" i="5"/>
  <c r="U33" i="5"/>
  <c r="U37" i="5"/>
  <c r="U18" i="5"/>
  <c r="U26" i="5"/>
  <c r="U23" i="5"/>
  <c r="U21" i="5"/>
  <c r="U20" i="5"/>
  <c r="U22" i="5"/>
  <c r="U24" i="5"/>
  <c r="U19" i="5"/>
  <c r="U25" i="5"/>
  <c r="U27" i="5"/>
  <c r="U5" i="5"/>
  <c r="U14" i="5"/>
  <c r="U13" i="5"/>
  <c r="U11" i="5"/>
  <c r="U10" i="5"/>
  <c r="U9" i="5"/>
  <c r="U8" i="5"/>
  <c r="U7" i="5"/>
  <c r="U12" i="5"/>
  <c r="U6" i="5"/>
  <c r="D8" i="4"/>
  <c r="D10" i="4"/>
  <c r="D12" i="4"/>
  <c r="D14" i="4"/>
  <c r="E16" i="4"/>
  <c r="C30" i="3"/>
  <c r="C29" i="3"/>
  <c r="C28" i="3"/>
  <c r="C27" i="3"/>
  <c r="C26" i="3"/>
  <c r="C25" i="3"/>
  <c r="C24" i="3"/>
  <c r="C23" i="3"/>
  <c r="B15" i="3"/>
  <c r="C15" i="3" s="1"/>
  <c r="B14" i="3"/>
  <c r="C14" i="3" s="1"/>
  <c r="B13" i="3"/>
  <c r="C13" i="3" s="1"/>
  <c r="B12" i="3"/>
  <c r="C12" i="3" s="1"/>
  <c r="B11" i="3"/>
  <c r="C11" i="3" s="1"/>
  <c r="B10" i="3"/>
  <c r="C10" i="3" s="1"/>
  <c r="B9" i="3"/>
  <c r="C9" i="3" s="1"/>
  <c r="B8" i="3"/>
  <c r="C8" i="3" s="1"/>
  <c r="B7" i="3"/>
  <c r="C7" i="3" s="1"/>
  <c r="B6" i="3"/>
  <c r="C6" i="3" s="1"/>
  <c r="D6" i="3" l="1"/>
  <c r="D15" i="3"/>
  <c r="D12" i="3"/>
  <c r="D13" i="3"/>
  <c r="D9" i="3"/>
  <c r="D7" i="3"/>
  <c r="D8" i="3"/>
  <c r="D14" i="3"/>
  <c r="D10" i="3"/>
  <c r="D1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이재현</author>
  </authors>
  <commentList>
    <comment ref="C6" authorId="0" shapeId="0" xr:uid="{2CF76DA8-AFE8-4FD1-A09D-ED13608173C4}">
      <text>
        <r>
          <rPr>
            <b/>
            <sz val="9"/>
            <color indexed="81"/>
            <rFont val="굴림"/>
            <family val="3"/>
            <charset val="129"/>
          </rPr>
          <t>=FREQUENCY(data!$B$2:$B$277,B6)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Lee, Ho-sun</author>
  </authors>
  <commentList>
    <comment ref="D8" authorId="0" shapeId="0" xr:uid="{A26DE25C-A91D-4F04-9538-E65C02F75991}">
      <text>
        <r>
          <rPr>
            <b/>
            <sz val="9"/>
            <color indexed="81"/>
            <rFont val="굴림"/>
            <family val="3"/>
            <charset val="129"/>
          </rPr>
          <t>=C7/(1+$B$4)^B8</t>
        </r>
      </text>
    </comment>
    <comment ref="E8" authorId="0" shapeId="0" xr:uid="{28C7643A-16BA-41BF-A772-AAAB2FD25B9B}">
      <text>
        <r>
          <rPr>
            <b/>
            <sz val="9"/>
            <color indexed="81"/>
            <rFont val="굴림"/>
            <family val="3"/>
            <charset val="129"/>
          </rPr>
          <t>=D8/$D$13</t>
        </r>
      </text>
    </comment>
    <comment ref="F8" authorId="0" shapeId="0" xr:uid="{AAF95E70-8B41-4C3E-961C-334553FE3D48}">
      <text>
        <r>
          <rPr>
            <b/>
            <sz val="9"/>
            <color indexed="81"/>
            <rFont val="굴림"/>
            <family val="3"/>
            <charset val="129"/>
          </rPr>
          <t>=B8*E8</t>
        </r>
      </text>
    </comment>
    <comment ref="C12" authorId="0" shapeId="0" xr:uid="{00DA1C38-9202-43DD-9403-D355BD96E26A}">
      <text>
        <r>
          <rPr>
            <b/>
            <sz val="9"/>
            <color indexed="81"/>
            <rFont val="굴림"/>
            <family val="3"/>
            <charset val="129"/>
          </rPr>
          <t>=$B$2*$B$3+$B$2</t>
        </r>
      </text>
    </comment>
    <comment ref="D13" authorId="0" shapeId="0" xr:uid="{3BE2E84A-0873-4F64-82AE-639A59619A59}">
      <text>
        <r>
          <rPr>
            <b/>
            <sz val="9"/>
            <color indexed="81"/>
            <rFont val="굴림"/>
            <family val="3"/>
            <charset val="129"/>
          </rPr>
          <t>=SUM(D8:D12)</t>
        </r>
      </text>
    </comment>
    <comment ref="F13" authorId="0" shapeId="0" xr:uid="{A72BE2DC-AB74-4DA7-A9B1-B3D087FC9030}">
      <text>
        <r>
          <rPr>
            <b/>
            <sz val="9"/>
            <color indexed="81"/>
            <rFont val="굴림"/>
            <family val="3"/>
            <charset val="129"/>
          </rPr>
          <t>=SUM(F8:F12)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Lee, Ho-sun</author>
  </authors>
  <commentList>
    <comment ref="E8" authorId="0" shapeId="0" xr:uid="{7DCF8577-4D82-41DD-8C21-8531692B7774}">
      <text>
        <r>
          <rPr>
            <b/>
            <sz val="9"/>
            <color indexed="81"/>
            <rFont val="굴림"/>
            <family val="3"/>
            <charset val="129"/>
          </rPr>
          <t>=PV($B$2,E7,-E6*E5,-E6)</t>
        </r>
      </text>
    </comment>
    <comment ref="E9" authorId="0" shapeId="0" xr:uid="{624F195B-2810-4BAA-8C7B-DE1C21EDC230}">
      <text>
        <r>
          <rPr>
            <b/>
            <sz val="9"/>
            <color indexed="81"/>
            <rFont val="굴림"/>
            <family val="3"/>
            <charset val="129"/>
          </rPr>
          <t>=ROUND(((1+$B$2)/$B$2)-((1+$B$2)+E7*(E5-$B$2))/(E5*((1+$B$2)^E7-1)+$B$2),2)</t>
        </r>
      </text>
    </comment>
    <comment ref="E10" authorId="0" shapeId="0" xr:uid="{98F67D80-AEB9-4C3B-87F9-F48F135099A0}">
      <text>
        <r>
          <rPr>
            <b/>
            <sz val="9"/>
            <color indexed="81"/>
            <rFont val="굴림"/>
            <family val="3"/>
            <charset val="129"/>
          </rPr>
          <t>값을 바꿀 셀로 지정</t>
        </r>
      </text>
    </comment>
    <comment ref="F10" authorId="0" shapeId="0" xr:uid="{A0BACB86-F28C-4520-9A15-CCF7AF8D7DC5}">
      <text>
        <r>
          <rPr>
            <b/>
            <sz val="9"/>
            <color indexed="81"/>
            <rFont val="굴림"/>
            <family val="3"/>
            <charset val="129"/>
          </rPr>
          <t>=1-E12</t>
        </r>
      </text>
    </comment>
    <comment ref="E12" authorId="0" shapeId="0" xr:uid="{1A757A0D-BF74-42E9-99FC-993488AF5724}">
      <text>
        <r>
          <rPr>
            <b/>
            <sz val="9"/>
            <color indexed="81"/>
            <rFont val="굴림"/>
            <family val="3"/>
            <charset val="129"/>
          </rPr>
          <t>=E13-B9, 목표셀로 지정</t>
        </r>
      </text>
    </comment>
  </commentList>
</comments>
</file>

<file path=xl/sharedStrings.xml><?xml version="1.0" encoding="utf-8"?>
<sst xmlns="http://schemas.openxmlformats.org/spreadsheetml/2006/main" count="1526" uniqueCount="828">
  <si>
    <t>2001/01</t>
  </si>
  <si>
    <t>2001/02</t>
  </si>
  <si>
    <t>2001/03</t>
  </si>
  <si>
    <t>2001/04</t>
  </si>
  <si>
    <t>2001/05</t>
  </si>
  <si>
    <t>2001/06</t>
  </si>
  <si>
    <t>2001/07</t>
  </si>
  <si>
    <t>2001/08</t>
  </si>
  <si>
    <t>2001/09</t>
  </si>
  <si>
    <t>2001/10</t>
  </si>
  <si>
    <t>2001/11</t>
  </si>
  <si>
    <t>2001/12</t>
  </si>
  <si>
    <t>2002/01</t>
  </si>
  <si>
    <t>2002/02</t>
  </si>
  <si>
    <t>2002/03</t>
  </si>
  <si>
    <t>2002/04</t>
  </si>
  <si>
    <t>2002/05</t>
  </si>
  <si>
    <t>2002/06</t>
  </si>
  <si>
    <t>2002/07</t>
  </si>
  <si>
    <t>2002/08</t>
  </si>
  <si>
    <t>2002/09</t>
  </si>
  <si>
    <t>2002/10</t>
  </si>
  <si>
    <t>2002/11</t>
  </si>
  <si>
    <t>2002/12</t>
  </si>
  <si>
    <t>2003/01</t>
  </si>
  <si>
    <t>2003/02</t>
  </si>
  <si>
    <t>2003/03</t>
  </si>
  <si>
    <t>2003/04</t>
  </si>
  <si>
    <t>2003/05</t>
  </si>
  <si>
    <t>2003/06</t>
  </si>
  <si>
    <t>2003/07</t>
  </si>
  <si>
    <t>2003/08</t>
  </si>
  <si>
    <t>2003/09</t>
  </si>
  <si>
    <t>2003/10</t>
  </si>
  <si>
    <t>2003/11</t>
  </si>
  <si>
    <t>2003/12</t>
  </si>
  <si>
    <t>2004/01</t>
  </si>
  <si>
    <t>2004/02</t>
  </si>
  <si>
    <t>2004/03</t>
  </si>
  <si>
    <t>2004/04</t>
  </si>
  <si>
    <t>2004/05</t>
  </si>
  <si>
    <t>2004/06</t>
  </si>
  <si>
    <t>2004/07</t>
  </si>
  <si>
    <t>2004/08</t>
  </si>
  <si>
    <t>2004/09</t>
  </si>
  <si>
    <t>2004/10</t>
  </si>
  <si>
    <t>2004/11</t>
  </si>
  <si>
    <t>2004/12</t>
  </si>
  <si>
    <t>2005/01</t>
  </si>
  <si>
    <t>2005/02</t>
  </si>
  <si>
    <t>2005/03</t>
  </si>
  <si>
    <t>2005/04</t>
  </si>
  <si>
    <t>2005/05</t>
  </si>
  <si>
    <t>2005/06</t>
  </si>
  <si>
    <t>2005/07</t>
  </si>
  <si>
    <t>2005/08</t>
  </si>
  <si>
    <t>2005/09</t>
  </si>
  <si>
    <t>2005/10</t>
  </si>
  <si>
    <t>2005/11</t>
  </si>
  <si>
    <t>2005/12</t>
  </si>
  <si>
    <t>2006/01</t>
  </si>
  <si>
    <t>2006/02</t>
  </si>
  <si>
    <t>2006/03</t>
  </si>
  <si>
    <t>2006/04</t>
  </si>
  <si>
    <t>2006/05</t>
  </si>
  <si>
    <t>2006/06</t>
  </si>
  <si>
    <t>2006/07</t>
  </si>
  <si>
    <t>2006/08</t>
  </si>
  <si>
    <t>2006/09</t>
  </si>
  <si>
    <t>2006/10</t>
  </si>
  <si>
    <t>2006/11</t>
  </si>
  <si>
    <t>2006/12</t>
  </si>
  <si>
    <t>2007/01</t>
  </si>
  <si>
    <t>2007/02</t>
  </si>
  <si>
    <t>2007/03</t>
  </si>
  <si>
    <t>2007/04</t>
  </si>
  <si>
    <t>2007/05</t>
  </si>
  <si>
    <t>2007/06</t>
  </si>
  <si>
    <t>2007/07</t>
  </si>
  <si>
    <t>2007/08</t>
  </si>
  <si>
    <t>2007/09</t>
  </si>
  <si>
    <t>2007/10</t>
  </si>
  <si>
    <t>2007/11</t>
  </si>
  <si>
    <t>2007/12</t>
  </si>
  <si>
    <t>2008/01</t>
  </si>
  <si>
    <t>2008/02</t>
  </si>
  <si>
    <t>2008/03</t>
  </si>
  <si>
    <t>2008/04</t>
  </si>
  <si>
    <t>2008/05</t>
  </si>
  <si>
    <t>2008/06</t>
  </si>
  <si>
    <t>2008/07</t>
  </si>
  <si>
    <t>2008/08</t>
  </si>
  <si>
    <t>2008/09</t>
  </si>
  <si>
    <t>2008/10</t>
  </si>
  <si>
    <t>2008/11</t>
  </si>
  <si>
    <t>2008/12</t>
  </si>
  <si>
    <t>2009/01</t>
  </si>
  <si>
    <t>2009/02</t>
  </si>
  <si>
    <t>2009/03</t>
  </si>
  <si>
    <t>2009/04</t>
  </si>
  <si>
    <t>2009/05</t>
  </si>
  <si>
    <t>2009/06</t>
  </si>
  <si>
    <t>2009/07</t>
  </si>
  <si>
    <t>2009/08</t>
  </si>
  <si>
    <t>2009/09</t>
  </si>
  <si>
    <t>2009/10</t>
  </si>
  <si>
    <t>2009/11</t>
  </si>
  <si>
    <t>2009/12</t>
  </si>
  <si>
    <t>2010/01</t>
  </si>
  <si>
    <t>2010/02</t>
  </si>
  <si>
    <t>2010/03</t>
  </si>
  <si>
    <t>2010/04</t>
  </si>
  <si>
    <t>2010/05</t>
  </si>
  <si>
    <t>2010/06</t>
  </si>
  <si>
    <t>2010/07</t>
  </si>
  <si>
    <t>2010/08</t>
  </si>
  <si>
    <t>2010/09</t>
  </si>
  <si>
    <t>2010/10</t>
  </si>
  <si>
    <t>2010/11</t>
  </si>
  <si>
    <t>2010/12</t>
  </si>
  <si>
    <t>2011/01</t>
  </si>
  <si>
    <t>2011/02</t>
  </si>
  <si>
    <t>2011/03</t>
  </si>
  <si>
    <t>2011/04</t>
  </si>
  <si>
    <t>2011/05</t>
  </si>
  <si>
    <t>2011/06</t>
  </si>
  <si>
    <t>2011/07</t>
  </si>
  <si>
    <t>2011/08</t>
  </si>
  <si>
    <t>2011/09</t>
  </si>
  <si>
    <t>2011/10</t>
  </si>
  <si>
    <t>2011/11</t>
  </si>
  <si>
    <t>2011/12</t>
  </si>
  <si>
    <t>2012/01</t>
  </si>
  <si>
    <t>2012/02</t>
  </si>
  <si>
    <t>2012/03</t>
  </si>
  <si>
    <t>2012/04</t>
  </si>
  <si>
    <t>2012/05</t>
  </si>
  <si>
    <t>2012/06</t>
  </si>
  <si>
    <t>2012/07</t>
  </si>
  <si>
    <t>2012/08</t>
  </si>
  <si>
    <t>2012/09</t>
  </si>
  <si>
    <t>2012/10</t>
  </si>
  <si>
    <t>2012/11</t>
  </si>
  <si>
    <t>2012/12</t>
  </si>
  <si>
    <t>2013/01</t>
  </si>
  <si>
    <t>2013/02</t>
  </si>
  <si>
    <t>2013/03</t>
  </si>
  <si>
    <t>2013/04</t>
  </si>
  <si>
    <t>2013/05</t>
  </si>
  <si>
    <t>2013/06</t>
  </si>
  <si>
    <t>2013/07</t>
  </si>
  <si>
    <t>2013/08</t>
  </si>
  <si>
    <t>2013/09</t>
  </si>
  <si>
    <t>2013/10</t>
  </si>
  <si>
    <t>2013/11</t>
  </si>
  <si>
    <t>2013/12</t>
  </si>
  <si>
    <t>2014/01</t>
  </si>
  <si>
    <t>2014/02</t>
  </si>
  <si>
    <t>2014/03</t>
  </si>
  <si>
    <t>2014/04</t>
  </si>
  <si>
    <t>2014/05</t>
  </si>
  <si>
    <t>2014/06</t>
  </si>
  <si>
    <t>2014/07</t>
  </si>
  <si>
    <t>2014/08</t>
  </si>
  <si>
    <t>2014/09</t>
  </si>
  <si>
    <t>2014/10</t>
  </si>
  <si>
    <t>2014/11</t>
  </si>
  <si>
    <t>2014/12</t>
  </si>
  <si>
    <t>2015/01</t>
  </si>
  <si>
    <t>2015/02</t>
  </si>
  <si>
    <t>2015/03</t>
  </si>
  <si>
    <t>2015/04</t>
  </si>
  <si>
    <t>2015/05</t>
  </si>
  <si>
    <t>2015/06</t>
  </si>
  <si>
    <t>2015/07</t>
  </si>
  <si>
    <t>2015/08</t>
  </si>
  <si>
    <t>2015/09</t>
  </si>
  <si>
    <t>2015/10</t>
  </si>
  <si>
    <t>2015/11</t>
  </si>
  <si>
    <t>2015/12</t>
  </si>
  <si>
    <t>2016/01</t>
  </si>
  <si>
    <t>2016/02</t>
  </si>
  <si>
    <t>2016/03</t>
  </si>
  <si>
    <t>2016/04</t>
  </si>
  <si>
    <t>2016/05</t>
  </si>
  <si>
    <t>2016/06</t>
  </si>
  <si>
    <t>2016/07</t>
  </si>
  <si>
    <t>2016/08</t>
  </si>
  <si>
    <t>2016/09</t>
  </si>
  <si>
    <t>2016/10</t>
  </si>
  <si>
    <t>2016/11</t>
  </si>
  <si>
    <t>2016/12</t>
  </si>
  <si>
    <t>2017/01</t>
  </si>
  <si>
    <t>2017/02</t>
  </si>
  <si>
    <t>2017/03</t>
  </si>
  <si>
    <t>2017/04</t>
  </si>
  <si>
    <t>2017/05</t>
  </si>
  <si>
    <t>2017/06</t>
  </si>
  <si>
    <t>2017/07</t>
  </si>
  <si>
    <t>2017/08</t>
  </si>
  <si>
    <t>2017/09</t>
  </si>
  <si>
    <t>2017/10</t>
  </si>
  <si>
    <t>2017/11</t>
  </si>
  <si>
    <t>2017/12</t>
  </si>
  <si>
    <t>2018/01</t>
  </si>
  <si>
    <t>2018/02</t>
  </si>
  <si>
    <t>2018/03</t>
  </si>
  <si>
    <t>2018/04</t>
  </si>
  <si>
    <t>2018/05</t>
  </si>
  <si>
    <t>2018/06</t>
  </si>
  <si>
    <t>2018/07</t>
  </si>
  <si>
    <t>2018/08</t>
  </si>
  <si>
    <t>2018/09</t>
  </si>
  <si>
    <t>2018/10</t>
  </si>
  <si>
    <t>2018/11</t>
  </si>
  <si>
    <t>2018/12</t>
  </si>
  <si>
    <t>2019/01</t>
  </si>
  <si>
    <t>2019/02</t>
  </si>
  <si>
    <t>2019/03</t>
  </si>
  <si>
    <t>2019/04</t>
  </si>
  <si>
    <t>2019/05</t>
  </si>
  <si>
    <t>2019/06</t>
  </si>
  <si>
    <t>2019/07</t>
  </si>
  <si>
    <t>2019/08</t>
  </si>
  <si>
    <t>2019/09</t>
  </si>
  <si>
    <t>2019/10</t>
  </si>
  <si>
    <t>2019/11</t>
  </si>
  <si>
    <t>2019/12</t>
  </si>
  <si>
    <t>2020/01</t>
  </si>
  <si>
    <t>2020/02</t>
  </si>
  <si>
    <t>2020/03</t>
  </si>
  <si>
    <t>2020/04</t>
  </si>
  <si>
    <t>2020/05</t>
  </si>
  <si>
    <t>2020/06</t>
  </si>
  <si>
    <t>2020/07</t>
  </si>
  <si>
    <t>2020/08</t>
  </si>
  <si>
    <t>2020/09</t>
  </si>
  <si>
    <t>2020/10</t>
  </si>
  <si>
    <t>2020/11</t>
  </si>
  <si>
    <t>2020/12</t>
  </si>
  <si>
    <t>2021/01</t>
  </si>
  <si>
    <t>2021/02</t>
  </si>
  <si>
    <t>2021/03</t>
  </si>
  <si>
    <t>2021/04</t>
  </si>
  <si>
    <t>2021/05</t>
  </si>
  <si>
    <t>2021/06</t>
  </si>
  <si>
    <t>2021/07</t>
  </si>
  <si>
    <t>2021/08</t>
  </si>
  <si>
    <t>2021/09</t>
  </si>
  <si>
    <t>2021/10</t>
  </si>
  <si>
    <t>2021/11</t>
  </si>
  <si>
    <t>2021/12</t>
  </si>
  <si>
    <t>2022/01</t>
  </si>
  <si>
    <t>2022/02</t>
  </si>
  <si>
    <t>2022/03</t>
  </si>
  <si>
    <t>2022/04</t>
  </si>
  <si>
    <t>2022/05</t>
  </si>
  <si>
    <t>2022/06</t>
  </si>
  <si>
    <t>2022/07</t>
  </si>
  <si>
    <t>2022/08</t>
  </si>
  <si>
    <t>2022/09</t>
  </si>
  <si>
    <t>2022/10</t>
  </si>
  <si>
    <t>2022/11</t>
  </si>
  <si>
    <t>2022/12</t>
  </si>
  <si>
    <t>2023/01</t>
  </si>
  <si>
    <t>2023/02</t>
  </si>
  <si>
    <t>2023/03</t>
  </si>
  <si>
    <t>2023/04</t>
  </si>
  <si>
    <t>2023/05</t>
  </si>
  <si>
    <t>2023/06</t>
  </si>
  <si>
    <t>2023/07</t>
  </si>
  <si>
    <t>2023/08</t>
  </si>
  <si>
    <t>2023/09</t>
  </si>
  <si>
    <t>2023/10</t>
  </si>
  <si>
    <t>2023/11</t>
  </si>
  <si>
    <t>2023/12</t>
  </si>
  <si>
    <t>날짜</t>
    <phoneticPr fontId="1" type="noConversion"/>
  </si>
  <si>
    <t>수익률</t>
    <phoneticPr fontId="1" type="noConversion"/>
  </si>
  <si>
    <t>◆ 도수분포표</t>
    <phoneticPr fontId="1" type="noConversion"/>
  </si>
  <si>
    <t>구간</t>
    <phoneticPr fontId="1" type="noConversion"/>
  </si>
  <si>
    <t>누적도수</t>
    <phoneticPr fontId="1" type="noConversion"/>
  </si>
  <si>
    <t>도수</t>
    <phoneticPr fontId="1" type="noConversion"/>
  </si>
  <si>
    <t>◆ Summary Stats</t>
    <phoneticPr fontId="1" type="noConversion"/>
  </si>
  <si>
    <t>평균</t>
    <phoneticPr fontId="1" type="noConversion"/>
  </si>
  <si>
    <t xml:space="preserve"> =AVERAGE(셀범위)</t>
    <phoneticPr fontId="1" type="noConversion"/>
  </si>
  <si>
    <t>분산</t>
    <phoneticPr fontId="1" type="noConversion"/>
  </si>
  <si>
    <t xml:space="preserve"> =VAR(셀범위)</t>
    <phoneticPr fontId="1" type="noConversion"/>
  </si>
  <si>
    <t>표준편차</t>
    <phoneticPr fontId="1" type="noConversion"/>
  </si>
  <si>
    <t xml:space="preserve"> =STDEV(셀범위)</t>
    <phoneticPr fontId="1" type="noConversion"/>
  </si>
  <si>
    <t>최대값</t>
    <phoneticPr fontId="1" type="noConversion"/>
  </si>
  <si>
    <t xml:space="preserve"> =MAX(셀범위)</t>
    <phoneticPr fontId="1" type="noConversion"/>
  </si>
  <si>
    <t>최소값</t>
    <phoneticPr fontId="1" type="noConversion"/>
  </si>
  <si>
    <t xml:space="preserve"> =MIN(셀범위)</t>
    <phoneticPr fontId="1" type="noConversion"/>
  </si>
  <si>
    <t>1사분위수</t>
    <phoneticPr fontId="1" type="noConversion"/>
  </si>
  <si>
    <t xml:space="preserve"> =QUARTILE(셀범위,1)</t>
    <phoneticPr fontId="1" type="noConversion"/>
  </si>
  <si>
    <t>중앙값</t>
    <phoneticPr fontId="1" type="noConversion"/>
  </si>
  <si>
    <t xml:space="preserve"> =QUARTILE(셀범위,2)</t>
    <phoneticPr fontId="1" type="noConversion"/>
  </si>
  <si>
    <t>3사분위수</t>
    <phoneticPr fontId="1" type="noConversion"/>
  </si>
  <si>
    <t xml:space="preserve"> =QUARTILE(셀범위,3)</t>
    <phoneticPr fontId="1" type="noConversion"/>
  </si>
  <si>
    <t>기대수익률</t>
    <phoneticPr fontId="1" type="noConversion"/>
  </si>
  <si>
    <t>상관계수</t>
    <phoneticPr fontId="1" type="noConversion"/>
  </si>
  <si>
    <t>A</t>
    <phoneticPr fontId="1" type="noConversion"/>
  </si>
  <si>
    <t>B</t>
    <phoneticPr fontId="1" type="noConversion"/>
  </si>
  <si>
    <t>투자비율A</t>
    <phoneticPr fontId="1" type="noConversion"/>
  </si>
  <si>
    <t>투자비율B</t>
    <phoneticPr fontId="1" type="noConversion"/>
  </si>
  <si>
    <t>포트폴리오
기대수익률</t>
    <phoneticPr fontId="1" type="noConversion"/>
  </si>
  <si>
    <t>포트폴리오
표준편차</t>
    <phoneticPr fontId="1" type="noConversion"/>
  </si>
  <si>
    <t>코스피대형주</t>
    <phoneticPr fontId="1" type="noConversion"/>
  </si>
  <si>
    <t>코스피중형주</t>
    <phoneticPr fontId="1" type="noConversion"/>
  </si>
  <si>
    <t>코스피소형주</t>
    <phoneticPr fontId="1" type="noConversion"/>
  </si>
  <si>
    <t>코스닥</t>
    <phoneticPr fontId="1" type="noConversion"/>
  </si>
  <si>
    <t>국고채(3년)</t>
  </si>
  <si>
    <t>◆ 기초통계량</t>
    <phoneticPr fontId="1" type="noConversion"/>
  </si>
  <si>
    <t>평균</t>
  </si>
  <si>
    <t>표준 오차</t>
  </si>
  <si>
    <t>중앙값</t>
  </si>
  <si>
    <t>최빈값</t>
  </si>
  <si>
    <t>표준 편차</t>
  </si>
  <si>
    <t>분산</t>
  </si>
  <si>
    <t>첨도</t>
  </si>
  <si>
    <t>왜도</t>
  </si>
  <si>
    <t>범위</t>
  </si>
  <si>
    <t>최소값</t>
  </si>
  <si>
    <t>최대값</t>
  </si>
  <si>
    <t>합</t>
  </si>
  <si>
    <t>관측수</t>
  </si>
  <si>
    <t>구분</t>
    <phoneticPr fontId="1" type="noConversion"/>
  </si>
  <si>
    <t>◆ 상관계수</t>
    <phoneticPr fontId="1" type="noConversion"/>
  </si>
  <si>
    <t>국고채(3년)</t>
    <phoneticPr fontId="1" type="noConversion"/>
  </si>
  <si>
    <t>RVAR</t>
    <phoneticPr fontId="1" type="noConversion"/>
  </si>
  <si>
    <t>무담보콜금리 전체</t>
    <phoneticPr fontId="1" type="noConversion"/>
  </si>
  <si>
    <t>CD(91일)</t>
    <phoneticPr fontId="1" type="noConversion"/>
  </si>
  <si>
    <t>CP(91일)</t>
    <phoneticPr fontId="1" type="noConversion"/>
  </si>
  <si>
    <t>국민주택채권1종(5년)</t>
    <phoneticPr fontId="1" type="noConversion"/>
  </si>
  <si>
    <t>국고채(1년)</t>
    <phoneticPr fontId="1" type="noConversion"/>
  </si>
  <si>
    <t>국고채(3년)</t>
    <phoneticPr fontId="1" type="noConversion"/>
  </si>
  <si>
    <t>국고채(5년)</t>
    <phoneticPr fontId="1" type="noConversion"/>
  </si>
  <si>
    <t>국고채(10년)</t>
    <phoneticPr fontId="1" type="noConversion"/>
  </si>
  <si>
    <t>통안증권(1년)</t>
    <phoneticPr fontId="1" type="noConversion"/>
  </si>
  <si>
    <t>산금채(1년)</t>
    <phoneticPr fontId="1" type="noConversion"/>
  </si>
  <si>
    <t>회사채(3년, AA-)</t>
    <phoneticPr fontId="1" type="noConversion"/>
  </si>
  <si>
    <t>회사채(3년, BBB-)</t>
    <phoneticPr fontId="1" type="noConversion"/>
  </si>
  <si>
    <t>주식투자비율</t>
    <phoneticPr fontId="1" type="noConversion"/>
  </si>
  <si>
    <t>포트폴리오 기대수익률</t>
    <phoneticPr fontId="1" type="noConversion"/>
  </si>
  <si>
    <t>포트폴리오 표준편차</t>
    <phoneticPr fontId="1" type="noConversion"/>
  </si>
  <si>
    <t>위험자산</t>
    <phoneticPr fontId="1" type="noConversion"/>
  </si>
  <si>
    <t>무위험자산</t>
    <phoneticPr fontId="1" type="noConversion"/>
  </si>
  <si>
    <t>위험자산 투자비율</t>
    <phoneticPr fontId="1" type="noConversion"/>
  </si>
  <si>
    <t>예시</t>
    <phoneticPr fontId="1" type="noConversion"/>
  </si>
  <si>
    <t>실제</t>
    <phoneticPr fontId="1" type="noConversion"/>
  </si>
  <si>
    <t>공분산</t>
    <phoneticPr fontId="1" type="noConversion"/>
  </si>
  <si>
    <t>위험회피도</t>
    <phoneticPr fontId="1" type="noConversion"/>
  </si>
  <si>
    <t>A 투자비율</t>
    <phoneticPr fontId="1" type="noConversion"/>
  </si>
  <si>
    <t>B투자비율</t>
    <phoneticPr fontId="1" type="noConversion"/>
  </si>
  <si>
    <t>위험보상비율</t>
    <phoneticPr fontId="1" type="noConversion"/>
  </si>
  <si>
    <t>최소분산포트폴리오(V)</t>
    <phoneticPr fontId="1" type="noConversion"/>
  </si>
  <si>
    <t>포트폴리오 P</t>
    <phoneticPr fontId="1" type="noConversion"/>
  </si>
  <si>
    <t>포트폴리오 T</t>
    <phoneticPr fontId="1" type="noConversion"/>
  </si>
  <si>
    <t>최적 완전포트폴리오</t>
    <phoneticPr fontId="1" type="noConversion"/>
  </si>
  <si>
    <t>무위험자산투자비율</t>
    <phoneticPr fontId="1" type="noConversion"/>
  </si>
  <si>
    <t>투자기회집합 구성</t>
    <phoneticPr fontId="1" type="noConversion"/>
  </si>
  <si>
    <t>자산</t>
    <phoneticPr fontId="1" type="noConversion"/>
  </si>
  <si>
    <t>C</t>
    <phoneticPr fontId="1" type="noConversion"/>
  </si>
  <si>
    <t>무위험수익률</t>
    <phoneticPr fontId="1" type="noConversion"/>
  </si>
  <si>
    <t>공분산 행렬</t>
    <phoneticPr fontId="1" type="noConversion"/>
  </si>
  <si>
    <t xml:space="preserve">  =MINVERSE(B11:D13)</t>
    <phoneticPr fontId="1" type="noConversion"/>
  </si>
  <si>
    <t xml:space="preserve">  =B2-$B$6</t>
    <phoneticPr fontId="1" type="noConversion"/>
  </si>
  <si>
    <t xml:space="preserve">  =B3-$B$6</t>
    <phoneticPr fontId="1" type="noConversion"/>
  </si>
  <si>
    <t xml:space="preserve">  =B4-$B$6</t>
    <phoneticPr fontId="1" type="noConversion"/>
  </si>
  <si>
    <t xml:space="preserve"> =MMULT(A17:C19,A22:A24)</t>
    <phoneticPr fontId="1" type="noConversion"/>
  </si>
  <si>
    <t>투자비율</t>
    <phoneticPr fontId="1" type="noConversion"/>
  </si>
  <si>
    <t xml:space="preserve">  =A27/SUM($A$27:$A$29)</t>
    <phoneticPr fontId="1" type="noConversion"/>
  </si>
  <si>
    <t xml:space="preserve">  =A28/SUM($A$27:$A$29)</t>
    <phoneticPr fontId="1" type="noConversion"/>
  </si>
  <si>
    <t xml:space="preserve">  =A29/SUM($A$27:$A$29)</t>
    <phoneticPr fontId="1" type="noConversion"/>
  </si>
  <si>
    <t>구분</t>
    <phoneticPr fontId="1" type="noConversion"/>
  </si>
  <si>
    <t>공분산행렬의 역행렬</t>
    <phoneticPr fontId="1" type="noConversion"/>
  </si>
  <si>
    <t>위험프리미엄 벡터</t>
    <phoneticPr fontId="1" type="noConversion"/>
  </si>
  <si>
    <t>행렬 Z</t>
    <phoneticPr fontId="1" type="noConversion"/>
  </si>
  <si>
    <t>기대수익률과 가중치</t>
    <phoneticPr fontId="1" type="noConversion"/>
  </si>
  <si>
    <t>자산배분</t>
    <phoneticPr fontId="1" type="noConversion"/>
  </si>
  <si>
    <t>제약조건</t>
    <phoneticPr fontId="1" type="noConversion"/>
  </si>
  <si>
    <t>&lt;=</t>
    <phoneticPr fontId="1" type="noConversion"/>
  </si>
  <si>
    <t>투자비율 합</t>
    <phoneticPr fontId="1" type="noConversion"/>
  </si>
  <si>
    <t>=</t>
    <phoneticPr fontId="1" type="noConversion"/>
  </si>
  <si>
    <t>공분산행렬C</t>
    <phoneticPr fontId="1" type="noConversion"/>
  </si>
  <si>
    <t>w'</t>
    <phoneticPr fontId="1" type="noConversion"/>
  </si>
  <si>
    <t xml:space="preserve"> =TRANSPOSE(C6:C8)</t>
    <phoneticPr fontId="1" type="noConversion"/>
  </si>
  <si>
    <t>w'*C</t>
    <phoneticPr fontId="1" type="noConversion"/>
  </si>
  <si>
    <t xml:space="preserve"> =MMULT(E12:G12,A12:C14)</t>
    <phoneticPr fontId="1" type="noConversion"/>
  </si>
  <si>
    <t xml:space="preserve">  =SUMPRODUCT(B6:B8,C6:C8)</t>
    <phoneticPr fontId="1" type="noConversion"/>
  </si>
  <si>
    <t>포트폴리오 분산(w'*C*w)</t>
    <phoneticPr fontId="1" type="noConversion"/>
  </si>
  <si>
    <t xml:space="preserve">    =MMULT(E14:G14,C6:C8)</t>
    <phoneticPr fontId="1" type="noConversion"/>
  </si>
  <si>
    <t>목적함수</t>
    <phoneticPr fontId="1" type="noConversion"/>
  </si>
  <si>
    <t xml:space="preserve">   =A18-0.5*A21*B1</t>
    <phoneticPr fontId="1" type="noConversion"/>
  </si>
  <si>
    <t>2023-12-28</t>
  </si>
  <si>
    <t>2023-12-27</t>
  </si>
  <si>
    <t>2023-12-26</t>
  </si>
  <si>
    <t>2023-12-22</t>
  </si>
  <si>
    <t>2023-12-21</t>
  </si>
  <si>
    <t>2023-12-20</t>
  </si>
  <si>
    <t>2023-12-19</t>
  </si>
  <si>
    <t>2023-12-18</t>
  </si>
  <si>
    <t>2023-12-15</t>
  </si>
  <si>
    <t>2023-12-14</t>
  </si>
  <si>
    <t>2023-12-13</t>
  </si>
  <si>
    <t>2023-12-12</t>
  </si>
  <si>
    <t>2023-12-11</t>
  </si>
  <si>
    <t>2023-12-08</t>
  </si>
  <si>
    <t>2023-12-07</t>
  </si>
  <si>
    <t>2023-12-06</t>
  </si>
  <si>
    <t>2023-12-05</t>
  </si>
  <si>
    <t>2023-12-04</t>
  </si>
  <si>
    <t>2023-12-01</t>
  </si>
  <si>
    <t>2023-11-30</t>
  </si>
  <si>
    <t>2023-11-29</t>
  </si>
  <si>
    <t>2023-11-28</t>
  </si>
  <si>
    <t>2023-11-27</t>
  </si>
  <si>
    <t>2023-11-24</t>
  </si>
  <si>
    <t>2023-11-23</t>
  </si>
  <si>
    <t>2023-11-22</t>
  </si>
  <si>
    <t>2023-11-21</t>
  </si>
  <si>
    <t>2023-11-20</t>
  </si>
  <si>
    <t>2023-11-17</t>
  </si>
  <si>
    <t>2023-11-16</t>
  </si>
  <si>
    <t>2023-11-15</t>
  </si>
  <si>
    <t>2023-11-14</t>
  </si>
  <si>
    <t>2023-11-13</t>
  </si>
  <si>
    <t>2023-11-10</t>
  </si>
  <si>
    <t>2023-11-09</t>
  </si>
  <si>
    <t>2023-11-08</t>
  </si>
  <si>
    <t>2023-11-07</t>
  </si>
  <si>
    <t>2023-11-06</t>
  </si>
  <si>
    <t>2023-11-03</t>
  </si>
  <si>
    <t>2023-11-02</t>
  </si>
  <si>
    <t>2023-11-01</t>
  </si>
  <si>
    <t>2023-10-31</t>
  </si>
  <si>
    <t>2023-10-30</t>
  </si>
  <si>
    <t>2023-10-27</t>
  </si>
  <si>
    <t>2023-10-26</t>
  </si>
  <si>
    <t>2023-10-25</t>
  </si>
  <si>
    <t>2023-10-24</t>
  </si>
  <si>
    <t>2023-10-23</t>
  </si>
  <si>
    <t>2023-10-20</t>
  </si>
  <si>
    <t>2023-10-19</t>
  </si>
  <si>
    <t>2023-10-18</t>
  </si>
  <si>
    <t>2023-10-17</t>
  </si>
  <si>
    <t>2023-10-16</t>
  </si>
  <si>
    <t>2023-10-13</t>
  </si>
  <si>
    <t>2023-10-12</t>
  </si>
  <si>
    <t>2023-10-11</t>
  </si>
  <si>
    <t>2023-10-10</t>
  </si>
  <si>
    <t>2023-10-06</t>
  </si>
  <si>
    <t>2023-10-05</t>
  </si>
  <si>
    <t>2023-10-04</t>
  </si>
  <si>
    <t>2023-09-27</t>
  </si>
  <si>
    <t>2023-09-26</t>
  </si>
  <si>
    <t>2023-09-25</t>
  </si>
  <si>
    <t>2023-09-22</t>
  </si>
  <si>
    <t>2023-09-21</t>
  </si>
  <si>
    <t>2023-09-20</t>
  </si>
  <si>
    <t>2023-09-19</t>
  </si>
  <si>
    <t>2023-09-18</t>
  </si>
  <si>
    <t>2023-09-13</t>
  </si>
  <si>
    <t>2023-09-12</t>
  </si>
  <si>
    <t>2023-09-11</t>
  </si>
  <si>
    <t>2023-09-08</t>
  </si>
  <si>
    <t>2023-09-07</t>
  </si>
  <si>
    <t>2023-09-06</t>
  </si>
  <si>
    <t>2023-09-05</t>
  </si>
  <si>
    <t>2023-09-04</t>
  </si>
  <si>
    <t>2023-09-01</t>
  </si>
  <si>
    <t>2023-08-31</t>
  </si>
  <si>
    <t>2023-08-30</t>
  </si>
  <si>
    <t>2023-08-29</t>
  </si>
  <si>
    <t>2023-08-28</t>
  </si>
  <si>
    <t>2023-08-25</t>
  </si>
  <si>
    <t>2023-08-24</t>
  </si>
  <si>
    <t>2023-08-23</t>
  </si>
  <si>
    <t>2023-08-22</t>
  </si>
  <si>
    <t>2023-08-21</t>
  </si>
  <si>
    <t>2023-08-18</t>
  </si>
  <si>
    <t>2023-08-17</t>
  </si>
  <si>
    <t>2023-08-16</t>
  </si>
  <si>
    <t>2023-08-14</t>
  </si>
  <si>
    <t>2023-08-11</t>
  </si>
  <si>
    <t>2023-08-10</t>
  </si>
  <si>
    <t>2023-08-09</t>
  </si>
  <si>
    <t>2023-08-08</t>
  </si>
  <si>
    <t>2023-08-07</t>
  </si>
  <si>
    <t>2023-08-04</t>
  </si>
  <si>
    <t>2023-08-03</t>
  </si>
  <si>
    <t>2023-08-02</t>
  </si>
  <si>
    <t>2023-08-01</t>
  </si>
  <si>
    <t>2023-07-31</t>
  </si>
  <si>
    <t>2023-07-28</t>
  </si>
  <si>
    <t>2023-07-27</t>
  </si>
  <si>
    <t>2023-07-26</t>
  </si>
  <si>
    <t>2023-07-25</t>
  </si>
  <si>
    <t>2023-07-24</t>
  </si>
  <si>
    <t>2023-07-21</t>
  </si>
  <si>
    <t>2023-07-20</t>
  </si>
  <si>
    <t>2023-07-19</t>
  </si>
  <si>
    <t>2023-07-18</t>
  </si>
  <si>
    <t>2023-07-17</t>
  </si>
  <si>
    <t>2023-07-14</t>
  </si>
  <si>
    <t>2023-07-13</t>
  </si>
  <si>
    <t>2023-07-12</t>
  </si>
  <si>
    <t>2023-07-11</t>
  </si>
  <si>
    <t>2023-07-10</t>
  </si>
  <si>
    <t>2023-07-07</t>
  </si>
  <si>
    <t>2023-07-06</t>
  </si>
  <si>
    <t>2023-07-05</t>
  </si>
  <si>
    <t>2023-07-04</t>
  </si>
  <si>
    <t>2023-07-03</t>
  </si>
  <si>
    <t>2023-06-30</t>
  </si>
  <si>
    <t>2023-06-29</t>
  </si>
  <si>
    <t>2023-06-28</t>
  </si>
  <si>
    <t>2023-06-27</t>
  </si>
  <si>
    <t>2023-06-26</t>
  </si>
  <si>
    <t>2023-06-23</t>
  </si>
  <si>
    <t>2023-06-22</t>
  </si>
  <si>
    <t>2023-06-21</t>
  </si>
  <si>
    <t>2023-06-20</t>
  </si>
  <si>
    <t>2023-06-19</t>
  </si>
  <si>
    <t>2023-06-16</t>
  </si>
  <si>
    <t>2023-06-15</t>
  </si>
  <si>
    <t>2023-06-14</t>
  </si>
  <si>
    <t>2023-06-13</t>
  </si>
  <si>
    <t>2023-06-12</t>
  </si>
  <si>
    <t>2023-06-09</t>
  </si>
  <si>
    <t>2023-06-08</t>
  </si>
  <si>
    <t>2023-06-07</t>
  </si>
  <si>
    <t>2023-06-05</t>
  </si>
  <si>
    <t>2023-06-02</t>
  </si>
  <si>
    <t>2023-06-01</t>
  </si>
  <si>
    <t>2023-05-31</t>
  </si>
  <si>
    <t>2023-05-30</t>
  </si>
  <si>
    <t>2023-05-26</t>
  </si>
  <si>
    <t>2023-05-25</t>
  </si>
  <si>
    <t>2023-05-24</t>
  </si>
  <si>
    <t>2023-05-23</t>
  </si>
  <si>
    <t>2023-05-22</t>
  </si>
  <si>
    <t>2023-05-19</t>
  </si>
  <si>
    <t>2023-05-18</t>
  </si>
  <si>
    <t>2023-05-17</t>
  </si>
  <si>
    <t>2023-05-16</t>
  </si>
  <si>
    <t>2023-05-15</t>
  </si>
  <si>
    <t>2023-05-12</t>
  </si>
  <si>
    <t>2023-05-11</t>
  </si>
  <si>
    <t>2023-05-10</t>
  </si>
  <si>
    <t>2023-05-09</t>
  </si>
  <si>
    <t>2023-05-08</t>
  </si>
  <si>
    <t>2023-05-04</t>
  </si>
  <si>
    <t>2023-05-03</t>
  </si>
  <si>
    <t>2023-05-02</t>
  </si>
  <si>
    <t>2023-04-28</t>
  </si>
  <si>
    <t>2023-04-27</t>
  </si>
  <si>
    <t>2023-04-26</t>
  </si>
  <si>
    <t>2023-04-25</t>
  </si>
  <si>
    <t>2023-04-24</t>
  </si>
  <si>
    <t>2023-04-21</t>
  </si>
  <si>
    <t>2023-04-20</t>
  </si>
  <si>
    <t>2023-04-19</t>
  </si>
  <si>
    <t>2023-04-18</t>
  </si>
  <si>
    <t>2023-04-17</t>
  </si>
  <si>
    <t>2023-04-14</t>
  </si>
  <si>
    <t>2023-04-13</t>
  </si>
  <si>
    <t>2023-04-12</t>
  </si>
  <si>
    <t>2023-04-11</t>
  </si>
  <si>
    <t>2023-04-10</t>
  </si>
  <si>
    <t>2023-04-07</t>
  </si>
  <si>
    <t>2023-04-06</t>
  </si>
  <si>
    <t>2023-04-05</t>
  </si>
  <si>
    <t>2023-04-04</t>
  </si>
  <si>
    <t>2023-04-03</t>
  </si>
  <si>
    <t>2023-03-31</t>
  </si>
  <si>
    <t>2023-03-30</t>
  </si>
  <si>
    <t>2023-03-29</t>
  </si>
  <si>
    <t>2023-03-28</t>
  </si>
  <si>
    <t>2023-03-27</t>
  </si>
  <si>
    <t>2023-03-24</t>
  </si>
  <si>
    <t>2023-03-23</t>
  </si>
  <si>
    <t>2023-03-22</t>
  </si>
  <si>
    <t>2023-03-21</t>
  </si>
  <si>
    <t>2023-03-20</t>
  </si>
  <si>
    <t>2023-03-17</t>
  </si>
  <si>
    <t>2023-03-16</t>
  </si>
  <si>
    <t>2023-03-15</t>
  </si>
  <si>
    <t>2023-03-14</t>
  </si>
  <si>
    <t>2023-03-13</t>
  </si>
  <si>
    <t>2023-03-10</t>
  </si>
  <si>
    <t>2023-03-09</t>
  </si>
  <si>
    <t>2023-03-08</t>
  </si>
  <si>
    <t>2023-03-07</t>
  </si>
  <si>
    <t>2023-03-06</t>
  </si>
  <si>
    <t>2023-03-03</t>
  </si>
  <si>
    <t>2023-03-02</t>
  </si>
  <si>
    <t>2023-02-28</t>
  </si>
  <si>
    <t>2023-02-27</t>
  </si>
  <si>
    <t>2023-02-24</t>
  </si>
  <si>
    <t>2023-02-23</t>
  </si>
  <si>
    <t>2023-02-22</t>
  </si>
  <si>
    <t>2023-02-21</t>
  </si>
  <si>
    <t>2023-02-20</t>
  </si>
  <si>
    <t>2023-02-17</t>
  </si>
  <si>
    <t>2023-02-16</t>
  </si>
  <si>
    <t>2023-02-15</t>
  </si>
  <si>
    <t>2023-02-14</t>
  </si>
  <si>
    <t>2023-02-13</t>
  </si>
  <si>
    <t>2023-02-10</t>
  </si>
  <si>
    <t>2023-02-09</t>
  </si>
  <si>
    <t>2023-02-08</t>
  </si>
  <si>
    <t>2023-02-07</t>
  </si>
  <si>
    <t>2023-02-06</t>
  </si>
  <si>
    <t>2023-02-03</t>
  </si>
  <si>
    <t>2023-02-02</t>
  </si>
  <si>
    <t>2023-02-01</t>
  </si>
  <si>
    <t>2023-01-31</t>
  </si>
  <si>
    <t>2023-01-30</t>
  </si>
  <si>
    <t>2023-01-27</t>
  </si>
  <si>
    <t>2023-01-26</t>
  </si>
  <si>
    <t>2023-01-25</t>
  </si>
  <si>
    <t>2023-01-20</t>
  </si>
  <si>
    <t>2023-01-19</t>
  </si>
  <si>
    <t>2023-01-18</t>
  </si>
  <si>
    <t>2023-01-17</t>
  </si>
  <si>
    <t>2023-01-16</t>
  </si>
  <si>
    <t>2023-01-13</t>
  </si>
  <si>
    <t>2023-01-12</t>
  </si>
  <si>
    <t>2023-01-11</t>
  </si>
  <si>
    <t>2023-01-10</t>
  </si>
  <si>
    <t>2023-01-09</t>
  </si>
  <si>
    <t>2023-01-06</t>
  </si>
  <si>
    <t>2023-01-05</t>
  </si>
  <si>
    <t>2023-01-04</t>
  </si>
  <si>
    <t>2023-01-03</t>
  </si>
  <si>
    <t>2023-01-02</t>
  </si>
  <si>
    <t>코스피지수 수익률</t>
    <phoneticPr fontId="1" type="noConversion"/>
  </si>
  <si>
    <t>삼성전자 주가수익률</t>
    <phoneticPr fontId="1" type="noConversion"/>
  </si>
  <si>
    <t>요약 출력</t>
  </si>
  <si>
    <t>회귀분석 통계량</t>
  </si>
  <si>
    <t>다중 상관계수</t>
  </si>
  <si>
    <t>결정계수</t>
  </si>
  <si>
    <t>조정된 결정계수</t>
  </si>
  <si>
    <t>분산 분석</t>
  </si>
  <si>
    <t>회귀</t>
  </si>
  <si>
    <t>잔차</t>
  </si>
  <si>
    <t>계</t>
  </si>
  <si>
    <t>자유도</t>
  </si>
  <si>
    <t>제곱합</t>
  </si>
  <si>
    <t>제곱 평균</t>
  </si>
  <si>
    <t>F 비</t>
  </si>
  <si>
    <t>유의한 F</t>
  </si>
  <si>
    <t>계수</t>
  </si>
  <si>
    <t>t 통계량</t>
  </si>
  <si>
    <t>P-값</t>
  </si>
  <si>
    <t>하위 95%</t>
  </si>
  <si>
    <t>상위 95%</t>
  </si>
  <si>
    <t>하위 95.0%</t>
  </si>
  <si>
    <t>상위 95.0%</t>
  </si>
  <si>
    <t>X 1</t>
  </si>
  <si>
    <r>
      <t xml:space="preserve">Y </t>
    </r>
    <r>
      <rPr>
        <sz val="10"/>
        <color rgb="FF000000"/>
        <rFont val="Tahoma"/>
        <family val="2"/>
      </rPr>
      <t>절편</t>
    </r>
  </si>
  <si>
    <t>잔차 출력</t>
  </si>
  <si>
    <t>Y 예측치</t>
  </si>
  <si>
    <t>시간</t>
    <phoneticPr fontId="1" type="noConversion"/>
  </si>
  <si>
    <t>시장</t>
    <phoneticPr fontId="1" type="noConversion"/>
  </si>
  <si>
    <t>평균수익률</t>
    <phoneticPr fontId="1" type="noConversion"/>
  </si>
  <si>
    <t>잔여만기</t>
    <phoneticPr fontId="1" type="noConversion"/>
  </si>
  <si>
    <t>시중금리</t>
    <phoneticPr fontId="1" type="noConversion"/>
  </si>
  <si>
    <t>발행금리</t>
    <phoneticPr fontId="1" type="noConversion"/>
  </si>
  <si>
    <t>(PV함수 사용)</t>
    <phoneticPr fontId="1" type="noConversion"/>
  </si>
  <si>
    <t>발행금리 10%에서의 채권가격 (년 1회 이자지급)</t>
    <phoneticPr fontId="1" type="noConversion"/>
  </si>
  <si>
    <t>만기</t>
    <phoneticPr fontId="1" type="noConversion"/>
  </si>
  <si>
    <t>4.875% Coupon</t>
  </si>
  <si>
    <t>만기</t>
  </si>
  <si>
    <t>구입일(settlement)</t>
  </si>
  <si>
    <t>만기일(maturity)</t>
  </si>
  <si>
    <t>발행금리(rate)</t>
  </si>
  <si>
    <t>만기수익률(yld)</t>
  </si>
  <si>
    <t>만기상환액(redemption)</t>
  </si>
  <si>
    <t>연간이자지급횟수(frequency)</t>
  </si>
  <si>
    <t>신문고시가격</t>
  </si>
  <si>
    <t>이자지급후 경과기간</t>
  </si>
  <si>
    <t>이자지급간격</t>
  </si>
  <si>
    <t>미지급이자</t>
  </si>
  <si>
    <t>실제지불가격</t>
  </si>
  <si>
    <t>2024년 2월</t>
    <phoneticPr fontId="1" type="noConversion"/>
  </si>
  <si>
    <t>액면가</t>
    <phoneticPr fontId="1" type="noConversion"/>
  </si>
  <si>
    <t>만기수익률</t>
    <phoneticPr fontId="1" type="noConversion"/>
  </si>
  <si>
    <t>5년</t>
    <phoneticPr fontId="1" type="noConversion"/>
  </si>
  <si>
    <t>기간(년)</t>
    <phoneticPr fontId="1" type="noConversion"/>
  </si>
  <si>
    <t>현금흐름</t>
    <phoneticPr fontId="1" type="noConversion"/>
  </si>
  <si>
    <t>현재가치</t>
    <phoneticPr fontId="1" type="noConversion"/>
  </si>
  <si>
    <t>가중치</t>
    <phoneticPr fontId="1" type="noConversion"/>
  </si>
  <si>
    <t>기간*가중치</t>
    <phoneticPr fontId="1" type="noConversion"/>
  </si>
  <si>
    <t>발행금리(coupon)</t>
  </si>
  <si>
    <t>부채</t>
    <phoneticPr fontId="1" type="noConversion"/>
  </si>
  <si>
    <t>채권1</t>
    <phoneticPr fontId="1" type="noConversion"/>
  </si>
  <si>
    <t>채권2</t>
    <phoneticPr fontId="1" type="noConversion"/>
  </si>
  <si>
    <t>Maturity</t>
    <phoneticPr fontId="1" type="noConversion"/>
  </si>
  <si>
    <t>금액</t>
    <phoneticPr fontId="1" type="noConversion"/>
  </si>
  <si>
    <t>Duration</t>
    <phoneticPr fontId="1" type="noConversion"/>
  </si>
  <si>
    <t>가격</t>
    <phoneticPr fontId="1" type="noConversion"/>
  </si>
  <si>
    <t>투자비중</t>
    <phoneticPr fontId="1" type="noConversion"/>
  </si>
  <si>
    <t>포트폴리오 Duration</t>
    <phoneticPr fontId="1" type="noConversion"/>
  </si>
  <si>
    <t>Duration 차이</t>
    <phoneticPr fontId="1" type="noConversion"/>
  </si>
  <si>
    <t>총투자금액</t>
    <phoneticPr fontId="1" type="noConversion"/>
  </si>
  <si>
    <t>투자금액</t>
    <phoneticPr fontId="1" type="noConversion"/>
  </si>
  <si>
    <t>매입주수</t>
    <phoneticPr fontId="1" type="noConversion"/>
  </si>
  <si>
    <t>2년 뒤의 포트폴리오 가치</t>
    <phoneticPr fontId="1" type="noConversion"/>
  </si>
  <si>
    <t>1년 만기 채권</t>
    <phoneticPr fontId="1" type="noConversion"/>
  </si>
  <si>
    <t>3년 만기 채권</t>
    <phoneticPr fontId="1" type="noConversion"/>
  </si>
  <si>
    <t>1년째 수입이자의 재투자</t>
    <phoneticPr fontId="1" type="noConversion"/>
  </si>
  <si>
    <t>2년째 수입이자</t>
    <phoneticPr fontId="1" type="noConversion"/>
  </si>
  <si>
    <t>2년째 매각가격</t>
    <phoneticPr fontId="1" type="noConversion"/>
  </si>
  <si>
    <t>2년째 포트폴리오의 가치</t>
    <phoneticPr fontId="1" type="noConversion"/>
  </si>
  <si>
    <t>현재주가</t>
    <phoneticPr fontId="1" type="noConversion"/>
  </si>
  <si>
    <t>행사가격</t>
    <phoneticPr fontId="1" type="noConversion"/>
  </si>
  <si>
    <t>무위험이자율</t>
    <phoneticPr fontId="1" type="noConversion"/>
  </si>
  <si>
    <t>콜옵션가격</t>
    <phoneticPr fontId="1" type="noConversion"/>
  </si>
  <si>
    <t>시간가치</t>
    <phoneticPr fontId="1" type="noConversion"/>
  </si>
  <si>
    <t>만기까지 기간(년)</t>
    <phoneticPr fontId="1" type="noConversion"/>
  </si>
  <si>
    <t>배당률</t>
    <phoneticPr fontId="1" type="noConversion"/>
  </si>
  <si>
    <t>d1</t>
    <phoneticPr fontId="1" type="noConversion"/>
  </si>
  <si>
    <t>d2</t>
    <phoneticPr fontId="1" type="noConversion"/>
  </si>
  <si>
    <t>N(d1)</t>
    <phoneticPr fontId="1" type="noConversion"/>
  </si>
  <si>
    <t>N(d2)</t>
    <phoneticPr fontId="1" type="noConversion"/>
  </si>
  <si>
    <t>BS C=</t>
    <phoneticPr fontId="1" type="noConversion"/>
  </si>
  <si>
    <t>BS P=</t>
    <phoneticPr fontId="1" type="noConversion"/>
  </si>
  <si>
    <t>내재가치 C</t>
    <phoneticPr fontId="1" type="noConversion"/>
  </si>
  <si>
    <t>시간가치 C</t>
    <phoneticPr fontId="1" type="noConversion"/>
  </si>
  <si>
    <t>내재가치 P</t>
    <phoneticPr fontId="1" type="noConversion"/>
  </si>
  <si>
    <t>시간가치 P</t>
    <phoneticPr fontId="1" type="noConversion"/>
  </si>
  <si>
    <t>만기까지기간</t>
    <phoneticPr fontId="1" type="noConversion"/>
  </si>
  <si>
    <t>u=</t>
    <phoneticPr fontId="1" type="noConversion"/>
  </si>
  <si>
    <t>d=</t>
    <phoneticPr fontId="1" type="noConversion"/>
  </si>
  <si>
    <t>가성확률 p=</t>
    <phoneticPr fontId="1" type="noConversion"/>
  </si>
  <si>
    <t xml:space="preserve">1-p = </t>
    <phoneticPr fontId="1" type="noConversion"/>
  </si>
  <si>
    <t>2단계</t>
    <phoneticPr fontId="1" type="noConversion"/>
  </si>
  <si>
    <t>T=1yr</t>
    <phoneticPr fontId="1" type="noConversion"/>
  </si>
  <si>
    <t>주식가격</t>
    <phoneticPr fontId="1" type="noConversion"/>
  </si>
  <si>
    <t>3단계</t>
    <phoneticPr fontId="1" type="noConversion"/>
  </si>
  <si>
    <t>T=0.5yr</t>
    <phoneticPr fontId="1" type="noConversion"/>
  </si>
  <si>
    <t>투자 설정</t>
    <phoneticPr fontId="1" type="noConversion"/>
  </si>
  <si>
    <t>주식</t>
    <phoneticPr fontId="1" type="noConversion"/>
  </si>
  <si>
    <t>채권</t>
    <phoneticPr fontId="1" type="noConversion"/>
  </si>
  <si>
    <t>주식수익률</t>
    <phoneticPr fontId="1" type="noConversion"/>
  </si>
  <si>
    <t>채권수익률</t>
    <phoneticPr fontId="1" type="noConversion"/>
  </si>
  <si>
    <t>1기</t>
    <phoneticPr fontId="1" type="noConversion"/>
  </si>
  <si>
    <t>2기 시나리오 1</t>
    <phoneticPr fontId="1" type="noConversion"/>
  </si>
  <si>
    <t>2기 시나리오 2</t>
    <phoneticPr fontId="1" type="noConversion"/>
  </si>
  <si>
    <t>2기 시나리오 3</t>
    <phoneticPr fontId="1" type="noConversion"/>
  </si>
  <si>
    <t>2기 시나리오 4</t>
    <phoneticPr fontId="1" type="noConversion"/>
  </si>
  <si>
    <t>1. No rebalancing</t>
    <phoneticPr fontId="1" type="noConversion"/>
  </si>
  <si>
    <t>주식 금액</t>
    <phoneticPr fontId="1" type="noConversion"/>
  </si>
  <si>
    <t>채권금액</t>
    <phoneticPr fontId="1" type="noConversion"/>
  </si>
  <si>
    <t>합계</t>
    <phoneticPr fontId="1" type="noConversion"/>
  </si>
  <si>
    <t>주식비율</t>
    <phoneticPr fontId="1" type="noConversion"/>
  </si>
  <si>
    <t>채권비율</t>
    <phoneticPr fontId="1" type="noConversion"/>
  </si>
  <si>
    <t>포트폴리오 수익률</t>
    <phoneticPr fontId="1" type="noConversion"/>
  </si>
  <si>
    <t>2. 고정비율 Rebalancing</t>
    <phoneticPr fontId="1" type="noConversion"/>
  </si>
  <si>
    <t>주식금액</t>
    <phoneticPr fontId="1" type="noConversion"/>
  </si>
  <si>
    <t>조정된 주식</t>
    <phoneticPr fontId="1" type="noConversion"/>
  </si>
  <si>
    <t>조정된 채권</t>
    <phoneticPr fontId="1" type="noConversion"/>
  </si>
  <si>
    <t>투자 결과</t>
    <phoneticPr fontId="1" type="noConversion"/>
  </si>
  <si>
    <t>1. 금액가중</t>
    <phoneticPr fontId="1" type="noConversion"/>
  </si>
  <si>
    <t>기간</t>
    <phoneticPr fontId="1" type="noConversion"/>
  </si>
  <si>
    <t>투자수익</t>
    <phoneticPr fontId="1" type="noConversion"/>
  </si>
  <si>
    <t>순현금흐름</t>
    <phoneticPr fontId="1" type="noConversion"/>
  </si>
  <si>
    <t>IRR(금액가중)</t>
    <phoneticPr fontId="1" type="noConversion"/>
  </si>
  <si>
    <t>2. 시간가중</t>
    <phoneticPr fontId="1" type="noConversion"/>
  </si>
  <si>
    <t>기초주가</t>
    <phoneticPr fontId="1" type="noConversion"/>
  </si>
  <si>
    <t>배당금</t>
    <phoneticPr fontId="1" type="noConversion"/>
  </si>
  <si>
    <t>평가수익</t>
    <phoneticPr fontId="1" type="noConversion"/>
  </si>
  <si>
    <t>시간가중수익률</t>
    <phoneticPr fontId="1" type="noConversion"/>
  </si>
  <si>
    <t>투자수익률 결과</t>
    <phoneticPr fontId="1" type="noConversion"/>
  </si>
  <si>
    <t>1+R</t>
    <phoneticPr fontId="1" type="noConversion"/>
  </si>
  <si>
    <t>기하평균</t>
    <phoneticPr fontId="1" type="noConversion"/>
  </si>
  <si>
    <t>산술평균</t>
    <phoneticPr fontId="1" type="noConversion"/>
  </si>
  <si>
    <t>=(10000*$B$3)/(1+$B$4)+10000/(1+$B$4)</t>
    <phoneticPr fontId="1" type="noConversion"/>
  </si>
  <si>
    <t>=(10000*$B$3)*(1/(1+$B$4)^2+1/(1+$B$4))+10000/(1+$B$4)^2</t>
    <phoneticPr fontId="1" type="noConversion"/>
  </si>
  <si>
    <t>=(10000*$B$3)*(1/(1+$B$4)^4+1/(1+$B$4)^3+1/(1+$B$4)^2+1/(1+$B$4))+10000/(1+$B$4)^4</t>
    <phoneticPr fontId="1" type="noConversion"/>
  </si>
  <si>
    <t>=(10000*$B$3)*(1/(1+$B$4)^3+1/(1+$B$4)^2+1/(1+$B$4))+10000/(1+$B$4)^3</t>
    <phoneticPr fontId="1" type="noConversion"/>
  </si>
  <si>
    <t>=(10000*$B$3)*(1/(1+$B$4)^5+1/(1+$B$4)^4+1/(1+$B$4)^3+1/(1+$B$4)^2+1/(1+$B$4))+10000/(1+$B$4)^5</t>
    <phoneticPr fontId="1" type="noConversion"/>
  </si>
  <si>
    <t>수식</t>
    <phoneticPr fontId="1" type="noConversion"/>
  </si>
  <si>
    <t>함수</t>
    <phoneticPr fontId="1" type="noConversion"/>
  </si>
  <si>
    <t>=PV($B$14,$A16,-10000*$B$13,-10000)</t>
    <phoneticPr fontId="1" type="noConversion"/>
  </si>
  <si>
    <t>=PV($B$14,$A17,-10000*$B$13,-10000)</t>
    <phoneticPr fontId="1" type="noConversion"/>
  </si>
  <si>
    <t>=PV($B$14,$A18,-10000*$B$13,-10000)</t>
    <phoneticPr fontId="1" type="noConversion"/>
  </si>
  <si>
    <t>=PV($B$14,$A19,-10000*$B$13,-10000)</t>
    <phoneticPr fontId="1" type="noConversion"/>
  </si>
  <si>
    <t>=PV($B$14,$A20,-10000*$B$13,-10000)</t>
    <phoneticPr fontId="1" type="noConversion"/>
  </si>
  <si>
    <t>PRICE함수를 이용한 채권가격 계산</t>
    <phoneticPr fontId="1" type="noConversion"/>
  </si>
  <si>
    <t>=PRICE(B28,B29,B30,B31,B32,B33)</t>
    <phoneticPr fontId="1" type="noConversion"/>
  </si>
  <si>
    <t>=COUPDAYBS(B28,B29,B33,1)</t>
    <phoneticPr fontId="1" type="noConversion"/>
  </si>
  <si>
    <t>=COUPDAYS(B28,B29,B33,1)</t>
    <phoneticPr fontId="1" type="noConversion"/>
  </si>
  <si>
    <t>함수와 수식</t>
    <phoneticPr fontId="1" type="noConversion"/>
  </si>
  <si>
    <t>=(B37/B38)*B30*B32/B33</t>
    <phoneticPr fontId="1" type="noConversion"/>
  </si>
  <si>
    <t>=B36+B39</t>
    <phoneticPr fontId="1" type="noConversion"/>
  </si>
  <si>
    <t>일반식에 따른 듀레이션의 계산</t>
    <phoneticPr fontId="1" type="noConversion"/>
  </si>
  <si>
    <t>함수를 이용한 듀레이션의 계산</t>
    <phoneticPr fontId="1" type="noConversion"/>
  </si>
  <si>
    <t>=DURATION(B20,B21,B22,B23,B24)</t>
    <phoneticPr fontId="1" type="noConversion"/>
  </si>
  <si>
    <t>듀레이션</t>
    <phoneticPr fontId="1" type="noConversion"/>
  </si>
  <si>
    <t>=((1+$C$6)-$C$5)/($C$4-$C$5)</t>
    <phoneticPr fontId="1" type="noConversion"/>
  </si>
  <si>
    <t>=1-$C$7</t>
    <phoneticPr fontId="1" type="noConversion"/>
  </si>
  <si>
    <t>=$B$1*$B$3</t>
    <phoneticPr fontId="1" type="noConversion"/>
  </si>
  <si>
    <t>=MAX(D9-$B$2,0)</t>
    <phoneticPr fontId="1" type="noConversion"/>
  </si>
  <si>
    <t>=$B$1*$B$4</t>
    <phoneticPr fontId="1" type="noConversion"/>
  </si>
  <si>
    <t>=MAX(D12-$B$2,0)</t>
    <phoneticPr fontId="1" type="noConversion"/>
  </si>
  <si>
    <t>=$B$1*$B$3*$B$3</t>
    <phoneticPr fontId="1" type="noConversion"/>
  </si>
  <si>
    <t>=MAX(F17-$B$2,0)</t>
    <phoneticPr fontId="1" type="noConversion"/>
  </si>
  <si>
    <t>=(D10*$B$6+D13*$B$7)/(1+$B$5)</t>
    <phoneticPr fontId="1" type="noConversion"/>
  </si>
  <si>
    <t>=(D21*$B$6+D24*$B$7)/(1+$B$5/2)</t>
    <phoneticPr fontId="1" type="noConversion"/>
  </si>
  <si>
    <t>=(F18*$B$6+F21*$B$7)/(1+$B$5/2)</t>
    <phoneticPr fontId="1" type="noConversion"/>
  </si>
  <si>
    <t>=(B6^2*F18+B6*B7*F21+B7*B6*F24+B7^2*F27)/(1+B5/2)^2</t>
    <phoneticPr fontId="1" type="noConversion"/>
  </si>
  <si>
    <t>=(LN(B1/B2)+B3*B4)/(B5*SQRT(B4))+0.5*B5*SQRT(B4)</t>
    <phoneticPr fontId="1" type="noConversion"/>
  </si>
  <si>
    <t>=B9-B5*SQRT(B4)</t>
    <phoneticPr fontId="1" type="noConversion"/>
  </si>
  <si>
    <t>=NORMSDIST(B9)</t>
    <phoneticPr fontId="1" type="noConversion"/>
  </si>
  <si>
    <t>=NORMSDIST(B10)</t>
    <phoneticPr fontId="1" type="noConversion"/>
  </si>
  <si>
    <t>=B1*B11-B2*(EXP(-B3*B4))*B12</t>
    <phoneticPr fontId="1" type="noConversion"/>
  </si>
  <si>
    <t>=B2*(1-B12)*EXP(-B3*B4)-B1*(1-B11)</t>
    <phoneticPr fontId="1" type="noConversion"/>
  </si>
  <si>
    <t>=MAX(B1-B2,0)</t>
    <phoneticPr fontId="1" type="noConversion"/>
  </si>
  <si>
    <t>=B13-B16</t>
    <phoneticPr fontId="1" type="noConversion"/>
  </si>
  <si>
    <t>=MAX(B2-B1,0)</t>
    <phoneticPr fontId="1" type="noConversion"/>
  </si>
  <si>
    <t>=B14-B19</t>
    <phoneticPr fontId="1" type="noConversion"/>
  </si>
  <si>
    <t>=IRR(D6:D8)</t>
    <phoneticPr fontId="1" type="noConversion"/>
  </si>
  <si>
    <t>=(D17+D18)/2</t>
    <phoneticPr fontId="1" type="noConversion"/>
  </si>
  <si>
    <t>=AVERAGE(B4:B5)</t>
    <phoneticPr fontId="1" type="noConversion"/>
  </si>
  <si>
    <t>=GEOMEAN(C4:C5)-1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</si>
</sst>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0.0000"/>
    <numFmt numFmtId="177" formatCode="0.0000_ "/>
    <numFmt numFmtId="178" formatCode="#,###.##"/>
    <numFmt numFmtId="179" formatCode="0.0"/>
    <numFmt numFmtId="180" formatCode="0.00000000"/>
    <numFmt numFmtId="181" formatCode="0.00_ ;[Red]\-0.00\ "/>
    <numFmt numFmtId="182" formatCode="0.00_ "/>
    <numFmt numFmtId="183" formatCode="0.000000_ "/>
    <numFmt numFmtId="184" formatCode="#,##0_ "/>
    <numFmt numFmtId="185" formatCode="#,##0_ ;[Red]\-#,##0\ "/>
    <numFmt numFmtId="186" formatCode="#,##0.00_ "/>
    <numFmt numFmtId="187" formatCode="0.000_ "/>
    <numFmt numFmtId="188" formatCode="0.000%"/>
  </numFmts>
  <fonts count="21" x14ac:knownFonts="1">
    <font>
      <sz val="10"/>
      <color rgb="FF000000"/>
      <name val="Tahoma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굴림"/>
      <family val="3"/>
      <charset val="129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10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Tahoma"/>
      <family val="2"/>
    </font>
    <font>
      <sz val="10"/>
      <color rgb="FF000000"/>
      <name val="Arial"/>
      <family val="2"/>
    </font>
    <font>
      <b/>
      <sz val="9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9"/>
      <color theme="4" tint="0.59999389629810485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/>
    <xf numFmtId="9" fontId="16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4" fillId="0" borderId="0" xfId="0" applyFont="1" applyAlignment="1"/>
    <xf numFmtId="0" fontId="5" fillId="0" borderId="0" xfId="0" applyFont="1">
      <alignment vertical="center"/>
    </xf>
    <xf numFmtId="2" fontId="4" fillId="0" borderId="0" xfId="0" applyNumberFormat="1" applyFont="1" applyAlignment="1"/>
    <xf numFmtId="177" fontId="4" fillId="0" borderId="0" xfId="0" applyNumberFormat="1" applyFont="1" applyAlignment="1"/>
    <xf numFmtId="0" fontId="7" fillId="0" borderId="0" xfId="1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8" fontId="4" fillId="0" borderId="0" xfId="0" applyNumberFormat="1" applyFont="1" applyAlignment="1" applyProtection="1">
      <alignment horizontal="center" vertical="center" wrapText="1"/>
      <protection locked="0" hidden="1"/>
    </xf>
    <xf numFmtId="0" fontId="4" fillId="0" borderId="0" xfId="0" applyFont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2" fontId="4" fillId="0" borderId="1" xfId="0" applyNumberFormat="1" applyFont="1" applyBorder="1" applyAlignment="1"/>
    <xf numFmtId="0" fontId="9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1" xfId="0" applyFont="1" applyBorder="1">
      <alignment vertical="center"/>
    </xf>
    <xf numFmtId="2" fontId="4" fillId="0" borderId="0" xfId="0" applyNumberFormat="1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3" borderId="0" xfId="0" applyNumberFormat="1" applyFont="1" applyFill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8" fontId="12" fillId="0" borderId="2" xfId="0" applyNumberFormat="1" applyFont="1" applyBorder="1" applyAlignment="1" applyProtection="1">
      <alignment horizontal="center" vertical="center" wrapText="1"/>
      <protection locked="0" hidden="1"/>
    </xf>
    <xf numFmtId="0" fontId="13" fillId="0" borderId="0" xfId="0" applyFont="1">
      <alignment vertical="center"/>
    </xf>
    <xf numFmtId="0" fontId="13" fillId="0" borderId="2" xfId="0" applyFont="1" applyBorder="1">
      <alignment vertical="center"/>
    </xf>
    <xf numFmtId="0" fontId="13" fillId="0" borderId="0" xfId="0" applyFont="1" applyAlignment="1">
      <alignment horizontal="center" vertical="center"/>
    </xf>
    <xf numFmtId="176" fontId="13" fillId="0" borderId="0" xfId="0" applyNumberFormat="1" applyFont="1">
      <alignment vertical="center"/>
    </xf>
    <xf numFmtId="179" fontId="13" fillId="0" borderId="0" xfId="0" applyNumberFormat="1" applyFont="1">
      <alignment vertical="center"/>
    </xf>
    <xf numFmtId="0" fontId="13" fillId="0" borderId="2" xfId="0" applyFont="1" applyBorder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4" borderId="2" xfId="0" applyFont="1" applyFill="1" applyBorder="1">
      <alignment vertical="center"/>
    </xf>
    <xf numFmtId="0" fontId="13" fillId="4" borderId="2" xfId="0" applyFont="1" applyFill="1" applyBorder="1" applyAlignment="1">
      <alignment horizontal="center" vertical="center"/>
    </xf>
    <xf numFmtId="0" fontId="13" fillId="0" borderId="1" xfId="0" applyFont="1" applyBorder="1">
      <alignment vertical="center"/>
    </xf>
    <xf numFmtId="176" fontId="13" fillId="0" borderId="1" xfId="0" applyNumberFormat="1" applyFont="1" applyBorder="1">
      <alignment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4" fillId="2" borderId="1" xfId="1" applyNumberFormat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vertical="center"/>
    </xf>
    <xf numFmtId="176" fontId="4" fillId="0" borderId="1" xfId="1" applyNumberFormat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2" borderId="1" xfId="1" applyFont="1" applyFill="1" applyBorder="1" applyAlignment="1">
      <alignment vertical="center"/>
    </xf>
    <xf numFmtId="0" fontId="4" fillId="4" borderId="0" xfId="1" applyFont="1" applyFill="1" applyAlignment="1">
      <alignment vertical="center"/>
    </xf>
    <xf numFmtId="0" fontId="14" fillId="0" borderId="0" xfId="1" applyFont="1"/>
    <xf numFmtId="0" fontId="15" fillId="5" borderId="0" xfId="1" applyFont="1" applyFill="1"/>
    <xf numFmtId="0" fontId="15" fillId="0" borderId="0" xfId="1" applyFont="1"/>
    <xf numFmtId="0" fontId="15" fillId="0" borderId="0" xfId="1" applyFont="1" applyAlignment="1">
      <alignment horizontal="center"/>
    </xf>
    <xf numFmtId="178" fontId="13" fillId="0" borderId="0" xfId="0" applyNumberFormat="1" applyFont="1" applyAlignment="1" applyProtection="1">
      <protection locked="0" hidden="1"/>
    </xf>
    <xf numFmtId="180" fontId="13" fillId="0" borderId="0" xfId="0" applyNumberFormat="1" applyFont="1">
      <alignment vertical="center"/>
    </xf>
    <xf numFmtId="178" fontId="13" fillId="0" borderId="0" xfId="0" applyNumberFormat="1" applyFont="1" applyAlignment="1" applyProtection="1">
      <alignment horizontal="center" vertical="center"/>
      <protection locked="0" hidden="1"/>
    </xf>
    <xf numFmtId="0" fontId="8" fillId="0" borderId="3" xfId="0" applyFont="1" applyBorder="1">
      <alignment vertical="center"/>
    </xf>
    <xf numFmtId="0" fontId="0" fillId="0" borderId="3" xfId="0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Continuous" vertical="center"/>
    </xf>
    <xf numFmtId="0" fontId="4" fillId="0" borderId="0" xfId="0" applyFont="1">
      <alignment vertical="center"/>
    </xf>
    <xf numFmtId="10" fontId="4" fillId="0" borderId="0" xfId="2" applyNumberFormat="1" applyFont="1">
      <alignment vertical="center"/>
    </xf>
    <xf numFmtId="10" fontId="13" fillId="0" borderId="1" xfId="0" applyNumberFormat="1" applyFont="1" applyBorder="1">
      <alignment vertical="center"/>
    </xf>
    <xf numFmtId="0" fontId="4" fillId="0" borderId="0" xfId="1" applyFont="1"/>
    <xf numFmtId="9" fontId="4" fillId="0" borderId="0" xfId="1" applyNumberFormat="1" applyFont="1"/>
    <xf numFmtId="0" fontId="4" fillId="0" borderId="5" xfId="1" applyFont="1" applyBorder="1"/>
    <xf numFmtId="182" fontId="4" fillId="0" borderId="0" xfId="1" applyNumberFormat="1" applyFont="1"/>
    <xf numFmtId="0" fontId="4" fillId="0" borderId="6" xfId="1" quotePrefix="1" applyFont="1" applyBorder="1"/>
    <xf numFmtId="0" fontId="4" fillId="0" borderId="7" xfId="1" quotePrefix="1" applyFont="1" applyBorder="1"/>
    <xf numFmtId="181" fontId="4" fillId="0" borderId="0" xfId="1" applyNumberFormat="1" applyFont="1"/>
    <xf numFmtId="0" fontId="4" fillId="6" borderId="0" xfId="1" applyFont="1" applyFill="1" applyAlignment="1">
      <alignment horizontal="centerContinuous"/>
    </xf>
    <xf numFmtId="14" fontId="4" fillId="0" borderId="0" xfId="0" applyNumberFormat="1" applyFont="1" applyAlignment="1"/>
    <xf numFmtId="0" fontId="4" fillId="0" borderId="0" xfId="1" quotePrefix="1" applyFont="1"/>
    <xf numFmtId="0" fontId="13" fillId="0" borderId="0" xfId="0" applyFont="1" applyAlignment="1"/>
    <xf numFmtId="0" fontId="11" fillId="0" borderId="0" xfId="1" applyFont="1" applyAlignment="1">
      <alignment vertical="center"/>
    </xf>
    <xf numFmtId="9" fontId="11" fillId="0" borderId="0" xfId="1" applyNumberFormat="1" applyFont="1" applyAlignment="1">
      <alignment vertical="center"/>
    </xf>
    <xf numFmtId="182" fontId="11" fillId="0" borderId="0" xfId="1" applyNumberFormat="1" applyFont="1" applyAlignment="1">
      <alignment vertical="center"/>
    </xf>
    <xf numFmtId="183" fontId="11" fillId="0" borderId="0" xfId="1" applyNumberFormat="1" applyFont="1" applyAlignment="1">
      <alignment vertical="center"/>
    </xf>
    <xf numFmtId="0" fontId="11" fillId="0" borderId="0" xfId="0" applyFont="1">
      <alignment vertical="center"/>
    </xf>
    <xf numFmtId="14" fontId="11" fillId="0" borderId="0" xfId="0" applyNumberFormat="1" applyFont="1">
      <alignment vertical="center"/>
    </xf>
    <xf numFmtId="9" fontId="11" fillId="0" borderId="0" xfId="0" applyNumberFormat="1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1" quotePrefix="1" applyFont="1" applyAlignment="1">
      <alignment vertical="center"/>
    </xf>
    <xf numFmtId="0" fontId="18" fillId="7" borderId="0" xfId="1" applyFont="1" applyFill="1" applyAlignment="1">
      <alignment vertical="center"/>
    </xf>
    <xf numFmtId="184" fontId="4" fillId="0" borderId="0" xfId="1" applyNumberFormat="1" applyFont="1"/>
    <xf numFmtId="185" fontId="4" fillId="0" borderId="0" xfId="1" applyNumberFormat="1" applyFont="1"/>
    <xf numFmtId="186" fontId="4" fillId="0" borderId="0" xfId="1" applyNumberFormat="1" applyFont="1"/>
    <xf numFmtId="177" fontId="4" fillId="0" borderId="0" xfId="1" applyNumberFormat="1" applyFont="1"/>
    <xf numFmtId="187" fontId="4" fillId="0" borderId="0" xfId="1" applyNumberFormat="1" applyFont="1"/>
    <xf numFmtId="0" fontId="20" fillId="0" borderId="0" xfId="1" quotePrefix="1" applyFont="1"/>
    <xf numFmtId="0" fontId="4" fillId="0" borderId="9" xfId="1" applyFont="1" applyBorder="1"/>
    <xf numFmtId="0" fontId="4" fillId="0" borderId="10" xfId="1" applyFont="1" applyBorder="1"/>
    <xf numFmtId="0" fontId="4" fillId="0" borderId="11" xfId="1" applyFont="1" applyBorder="1"/>
    <xf numFmtId="0" fontId="4" fillId="0" borderId="12" xfId="1" applyFont="1" applyBorder="1"/>
    <xf numFmtId="0" fontId="4" fillId="0" borderId="13" xfId="1" applyFont="1" applyBorder="1"/>
    <xf numFmtId="0" fontId="4" fillId="0" borderId="2" xfId="1" applyFont="1" applyBorder="1"/>
    <xf numFmtId="0" fontId="12" fillId="3" borderId="0" xfId="1" applyFont="1" applyFill="1"/>
    <xf numFmtId="0" fontId="4" fillId="3" borderId="0" xfId="1" applyFont="1" applyFill="1"/>
    <xf numFmtId="182" fontId="4" fillId="3" borderId="0" xfId="1" applyNumberFormat="1" applyFont="1" applyFill="1"/>
    <xf numFmtId="0" fontId="12" fillId="8" borderId="0" xfId="1" applyFont="1" applyFill="1"/>
    <xf numFmtId="0" fontId="4" fillId="8" borderId="0" xfId="1" applyFont="1" applyFill="1"/>
    <xf numFmtId="9" fontId="4" fillId="8" borderId="0" xfId="1" applyNumberFormat="1" applyFont="1" applyFill="1"/>
    <xf numFmtId="0" fontId="4" fillId="0" borderId="8" xfId="1" applyFont="1" applyBorder="1"/>
    <xf numFmtId="0" fontId="4" fillId="0" borderId="12" xfId="1" quotePrefix="1" applyFont="1" applyBorder="1"/>
    <xf numFmtId="0" fontId="4" fillId="0" borderId="14" xfId="1" quotePrefix="1" applyFont="1" applyBorder="1"/>
    <xf numFmtId="0" fontId="4" fillId="0" borderId="0" xfId="4" applyFont="1">
      <alignment vertical="center"/>
    </xf>
    <xf numFmtId="0" fontId="4" fillId="0" borderId="1" xfId="4" applyFont="1" applyBorder="1">
      <alignment vertical="center"/>
    </xf>
    <xf numFmtId="0" fontId="4" fillId="2" borderId="1" xfId="4" applyFont="1" applyFill="1" applyBorder="1">
      <alignment vertical="center"/>
    </xf>
    <xf numFmtId="10" fontId="4" fillId="0" borderId="0" xfId="5" applyNumberFormat="1" applyFont="1" applyBorder="1">
      <alignment vertical="center"/>
    </xf>
    <xf numFmtId="0" fontId="4" fillId="0" borderId="0" xfId="4" applyFont="1" applyAlignment="1">
      <alignment horizontal="right" vertical="center"/>
    </xf>
    <xf numFmtId="182" fontId="4" fillId="0" borderId="0" xfId="4" applyNumberFormat="1" applyFont="1">
      <alignment vertical="center"/>
    </xf>
    <xf numFmtId="0" fontId="4" fillId="3" borderId="0" xfId="4" applyFont="1" applyFill="1">
      <alignment vertical="center"/>
    </xf>
    <xf numFmtId="10" fontId="13" fillId="0" borderId="0" xfId="5" applyNumberFormat="1" applyFont="1" applyBorder="1">
      <alignment vertical="center"/>
    </xf>
    <xf numFmtId="188" fontId="4" fillId="3" borderId="0" xfId="4" applyNumberFormat="1" applyFont="1" applyFill="1">
      <alignment vertical="center"/>
    </xf>
    <xf numFmtId="0" fontId="4" fillId="3" borderId="0" xfId="4" quotePrefix="1" applyFont="1" applyFill="1">
      <alignment vertical="center"/>
    </xf>
    <xf numFmtId="188" fontId="13" fillId="3" borderId="0" xfId="5" applyNumberFormat="1" applyFont="1" applyFill="1" applyBorder="1">
      <alignment vertical="center"/>
    </xf>
    <xf numFmtId="0" fontId="12" fillId="0" borderId="0" xfId="4" applyFont="1">
      <alignment vertical="center"/>
    </xf>
    <xf numFmtId="0" fontId="4" fillId="0" borderId="15" xfId="4" applyFont="1" applyBorder="1">
      <alignment vertical="center"/>
    </xf>
    <xf numFmtId="10" fontId="13" fillId="3" borderId="0" xfId="5" applyNumberFormat="1" applyFont="1" applyFill="1" applyBorder="1">
      <alignment vertical="center"/>
    </xf>
    <xf numFmtId="0" fontId="4" fillId="0" borderId="15" xfId="4" applyFont="1" applyBorder="1" applyAlignment="1">
      <alignment horizontal="right" vertical="center"/>
    </xf>
    <xf numFmtId="176" fontId="4" fillId="2" borderId="1" xfId="1" applyNumberFormat="1" applyFont="1" applyFill="1" applyBorder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5" fillId="0" borderId="0" xfId="1" applyFont="1" applyAlignment="1">
      <alignment horizontal="center"/>
    </xf>
    <xf numFmtId="0" fontId="4" fillId="6" borderId="0" xfId="1" applyFont="1" applyFill="1" applyAlignment="1">
      <alignment horizontal="center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12" fillId="0" borderId="2" xfId="4" applyFont="1" applyBorder="1">
      <alignment vertical="center"/>
    </xf>
    <xf numFmtId="0" fontId="4" fillId="0" borderId="2" xfId="4" applyFont="1" applyBorder="1">
      <alignment vertical="center"/>
    </xf>
  </cellXfs>
  <cellStyles count="6">
    <cellStyle name="백분율" xfId="2" builtinId="5"/>
    <cellStyle name="백분율 2" xfId="5" xr:uid="{2E76A73F-8CC2-42D6-A93A-9AB9C5F4BA5F}"/>
    <cellStyle name="표준" xfId="0" builtinId="0"/>
    <cellStyle name="표준 2" xfId="1" xr:uid="{D27C38F6-B792-42A8-A3DA-FDBA077A1552}"/>
    <cellStyle name="표준 3" xfId="3" xr:uid="{BBD770AA-7760-41A5-95D5-F3BBF3462870}"/>
    <cellStyle name="표준 4" xfId="4" xr:uid="{3EDBDFBA-9E75-4DEF-9FB5-47375378DB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코스피지수의 월별수익률</a:t>
            </a:r>
            <a:r>
              <a:rPr lang="en-US" altLang="ko-KR"/>
              <a:t>(2001/01~2023/12)</a:t>
            </a:r>
            <a:endParaRPr lang="ko-KR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 alt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'3-1 data'!$A$2:$A$277</c:f>
              <c:strCache>
                <c:ptCount val="276"/>
                <c:pt idx="0">
                  <c:v>2001/01</c:v>
                </c:pt>
                <c:pt idx="1">
                  <c:v>2001/02</c:v>
                </c:pt>
                <c:pt idx="2">
                  <c:v>2001/03</c:v>
                </c:pt>
                <c:pt idx="3">
                  <c:v>2001/04</c:v>
                </c:pt>
                <c:pt idx="4">
                  <c:v>2001/05</c:v>
                </c:pt>
                <c:pt idx="5">
                  <c:v>2001/06</c:v>
                </c:pt>
                <c:pt idx="6">
                  <c:v>2001/07</c:v>
                </c:pt>
                <c:pt idx="7">
                  <c:v>2001/08</c:v>
                </c:pt>
                <c:pt idx="8">
                  <c:v>2001/09</c:v>
                </c:pt>
                <c:pt idx="9">
                  <c:v>2001/10</c:v>
                </c:pt>
                <c:pt idx="10">
                  <c:v>2001/11</c:v>
                </c:pt>
                <c:pt idx="11">
                  <c:v>2001/12</c:v>
                </c:pt>
                <c:pt idx="12">
                  <c:v>2002/01</c:v>
                </c:pt>
                <c:pt idx="13">
                  <c:v>2002/02</c:v>
                </c:pt>
                <c:pt idx="14">
                  <c:v>2002/03</c:v>
                </c:pt>
                <c:pt idx="15">
                  <c:v>2002/04</c:v>
                </c:pt>
                <c:pt idx="16">
                  <c:v>2002/05</c:v>
                </c:pt>
                <c:pt idx="17">
                  <c:v>2002/06</c:v>
                </c:pt>
                <c:pt idx="18">
                  <c:v>2002/07</c:v>
                </c:pt>
                <c:pt idx="19">
                  <c:v>2002/08</c:v>
                </c:pt>
                <c:pt idx="20">
                  <c:v>2002/09</c:v>
                </c:pt>
                <c:pt idx="21">
                  <c:v>2002/10</c:v>
                </c:pt>
                <c:pt idx="22">
                  <c:v>2002/11</c:v>
                </c:pt>
                <c:pt idx="23">
                  <c:v>2002/12</c:v>
                </c:pt>
                <c:pt idx="24">
                  <c:v>2003/01</c:v>
                </c:pt>
                <c:pt idx="25">
                  <c:v>2003/02</c:v>
                </c:pt>
                <c:pt idx="26">
                  <c:v>2003/03</c:v>
                </c:pt>
                <c:pt idx="27">
                  <c:v>2003/04</c:v>
                </c:pt>
                <c:pt idx="28">
                  <c:v>2003/05</c:v>
                </c:pt>
                <c:pt idx="29">
                  <c:v>2003/06</c:v>
                </c:pt>
                <c:pt idx="30">
                  <c:v>2003/07</c:v>
                </c:pt>
                <c:pt idx="31">
                  <c:v>2003/08</c:v>
                </c:pt>
                <c:pt idx="32">
                  <c:v>2003/09</c:v>
                </c:pt>
                <c:pt idx="33">
                  <c:v>2003/10</c:v>
                </c:pt>
                <c:pt idx="34">
                  <c:v>2003/11</c:v>
                </c:pt>
                <c:pt idx="35">
                  <c:v>2003/12</c:v>
                </c:pt>
                <c:pt idx="36">
                  <c:v>2004/01</c:v>
                </c:pt>
                <c:pt idx="37">
                  <c:v>2004/02</c:v>
                </c:pt>
                <c:pt idx="38">
                  <c:v>2004/03</c:v>
                </c:pt>
                <c:pt idx="39">
                  <c:v>2004/04</c:v>
                </c:pt>
                <c:pt idx="40">
                  <c:v>2004/05</c:v>
                </c:pt>
                <c:pt idx="41">
                  <c:v>2004/06</c:v>
                </c:pt>
                <c:pt idx="42">
                  <c:v>2004/07</c:v>
                </c:pt>
                <c:pt idx="43">
                  <c:v>2004/08</c:v>
                </c:pt>
                <c:pt idx="44">
                  <c:v>2004/09</c:v>
                </c:pt>
                <c:pt idx="45">
                  <c:v>2004/10</c:v>
                </c:pt>
                <c:pt idx="46">
                  <c:v>2004/11</c:v>
                </c:pt>
                <c:pt idx="47">
                  <c:v>2004/12</c:v>
                </c:pt>
                <c:pt idx="48">
                  <c:v>2005/01</c:v>
                </c:pt>
                <c:pt idx="49">
                  <c:v>2005/02</c:v>
                </c:pt>
                <c:pt idx="50">
                  <c:v>2005/03</c:v>
                </c:pt>
                <c:pt idx="51">
                  <c:v>2005/04</c:v>
                </c:pt>
                <c:pt idx="52">
                  <c:v>2005/05</c:v>
                </c:pt>
                <c:pt idx="53">
                  <c:v>2005/06</c:v>
                </c:pt>
                <c:pt idx="54">
                  <c:v>2005/07</c:v>
                </c:pt>
                <c:pt idx="55">
                  <c:v>2005/08</c:v>
                </c:pt>
                <c:pt idx="56">
                  <c:v>2005/09</c:v>
                </c:pt>
                <c:pt idx="57">
                  <c:v>2005/10</c:v>
                </c:pt>
                <c:pt idx="58">
                  <c:v>2005/11</c:v>
                </c:pt>
                <c:pt idx="59">
                  <c:v>2005/12</c:v>
                </c:pt>
                <c:pt idx="60">
                  <c:v>2006/01</c:v>
                </c:pt>
                <c:pt idx="61">
                  <c:v>2006/02</c:v>
                </c:pt>
                <c:pt idx="62">
                  <c:v>2006/03</c:v>
                </c:pt>
                <c:pt idx="63">
                  <c:v>2006/04</c:v>
                </c:pt>
                <c:pt idx="64">
                  <c:v>2006/05</c:v>
                </c:pt>
                <c:pt idx="65">
                  <c:v>2006/06</c:v>
                </c:pt>
                <c:pt idx="66">
                  <c:v>2006/07</c:v>
                </c:pt>
                <c:pt idx="67">
                  <c:v>2006/08</c:v>
                </c:pt>
                <c:pt idx="68">
                  <c:v>2006/09</c:v>
                </c:pt>
                <c:pt idx="69">
                  <c:v>2006/10</c:v>
                </c:pt>
                <c:pt idx="70">
                  <c:v>2006/11</c:v>
                </c:pt>
                <c:pt idx="71">
                  <c:v>2006/12</c:v>
                </c:pt>
                <c:pt idx="72">
                  <c:v>2007/01</c:v>
                </c:pt>
                <c:pt idx="73">
                  <c:v>2007/02</c:v>
                </c:pt>
                <c:pt idx="74">
                  <c:v>2007/03</c:v>
                </c:pt>
                <c:pt idx="75">
                  <c:v>2007/04</c:v>
                </c:pt>
                <c:pt idx="76">
                  <c:v>2007/05</c:v>
                </c:pt>
                <c:pt idx="77">
                  <c:v>2007/06</c:v>
                </c:pt>
                <c:pt idx="78">
                  <c:v>2007/07</c:v>
                </c:pt>
                <c:pt idx="79">
                  <c:v>2007/08</c:v>
                </c:pt>
                <c:pt idx="80">
                  <c:v>2007/09</c:v>
                </c:pt>
                <c:pt idx="81">
                  <c:v>2007/10</c:v>
                </c:pt>
                <c:pt idx="82">
                  <c:v>2007/11</c:v>
                </c:pt>
                <c:pt idx="83">
                  <c:v>2007/12</c:v>
                </c:pt>
                <c:pt idx="84">
                  <c:v>2008/01</c:v>
                </c:pt>
                <c:pt idx="85">
                  <c:v>2008/02</c:v>
                </c:pt>
                <c:pt idx="86">
                  <c:v>2008/03</c:v>
                </c:pt>
                <c:pt idx="87">
                  <c:v>2008/04</c:v>
                </c:pt>
                <c:pt idx="88">
                  <c:v>2008/05</c:v>
                </c:pt>
                <c:pt idx="89">
                  <c:v>2008/06</c:v>
                </c:pt>
                <c:pt idx="90">
                  <c:v>2008/07</c:v>
                </c:pt>
                <c:pt idx="91">
                  <c:v>2008/08</c:v>
                </c:pt>
                <c:pt idx="92">
                  <c:v>2008/09</c:v>
                </c:pt>
                <c:pt idx="93">
                  <c:v>2008/10</c:v>
                </c:pt>
                <c:pt idx="94">
                  <c:v>2008/11</c:v>
                </c:pt>
                <c:pt idx="95">
                  <c:v>2008/12</c:v>
                </c:pt>
                <c:pt idx="96">
                  <c:v>2009/01</c:v>
                </c:pt>
                <c:pt idx="97">
                  <c:v>2009/02</c:v>
                </c:pt>
                <c:pt idx="98">
                  <c:v>2009/03</c:v>
                </c:pt>
                <c:pt idx="99">
                  <c:v>2009/04</c:v>
                </c:pt>
                <c:pt idx="100">
                  <c:v>2009/05</c:v>
                </c:pt>
                <c:pt idx="101">
                  <c:v>2009/06</c:v>
                </c:pt>
                <c:pt idx="102">
                  <c:v>2009/07</c:v>
                </c:pt>
                <c:pt idx="103">
                  <c:v>2009/08</c:v>
                </c:pt>
                <c:pt idx="104">
                  <c:v>2009/09</c:v>
                </c:pt>
                <c:pt idx="105">
                  <c:v>2009/10</c:v>
                </c:pt>
                <c:pt idx="106">
                  <c:v>2009/11</c:v>
                </c:pt>
                <c:pt idx="107">
                  <c:v>2009/12</c:v>
                </c:pt>
                <c:pt idx="108">
                  <c:v>2010/01</c:v>
                </c:pt>
                <c:pt idx="109">
                  <c:v>2010/02</c:v>
                </c:pt>
                <c:pt idx="110">
                  <c:v>2010/03</c:v>
                </c:pt>
                <c:pt idx="111">
                  <c:v>2010/04</c:v>
                </c:pt>
                <c:pt idx="112">
                  <c:v>2010/05</c:v>
                </c:pt>
                <c:pt idx="113">
                  <c:v>2010/06</c:v>
                </c:pt>
                <c:pt idx="114">
                  <c:v>2010/07</c:v>
                </c:pt>
                <c:pt idx="115">
                  <c:v>2010/08</c:v>
                </c:pt>
                <c:pt idx="116">
                  <c:v>2010/09</c:v>
                </c:pt>
                <c:pt idx="117">
                  <c:v>2010/10</c:v>
                </c:pt>
                <c:pt idx="118">
                  <c:v>2010/11</c:v>
                </c:pt>
                <c:pt idx="119">
                  <c:v>2010/12</c:v>
                </c:pt>
                <c:pt idx="120">
                  <c:v>2011/01</c:v>
                </c:pt>
                <c:pt idx="121">
                  <c:v>2011/02</c:v>
                </c:pt>
                <c:pt idx="122">
                  <c:v>2011/03</c:v>
                </c:pt>
                <c:pt idx="123">
                  <c:v>2011/04</c:v>
                </c:pt>
                <c:pt idx="124">
                  <c:v>2011/05</c:v>
                </c:pt>
                <c:pt idx="125">
                  <c:v>2011/06</c:v>
                </c:pt>
                <c:pt idx="126">
                  <c:v>2011/07</c:v>
                </c:pt>
                <c:pt idx="127">
                  <c:v>2011/08</c:v>
                </c:pt>
                <c:pt idx="128">
                  <c:v>2011/09</c:v>
                </c:pt>
                <c:pt idx="129">
                  <c:v>2011/10</c:v>
                </c:pt>
                <c:pt idx="130">
                  <c:v>2011/11</c:v>
                </c:pt>
                <c:pt idx="131">
                  <c:v>2011/12</c:v>
                </c:pt>
                <c:pt idx="132">
                  <c:v>2012/01</c:v>
                </c:pt>
                <c:pt idx="133">
                  <c:v>2012/02</c:v>
                </c:pt>
                <c:pt idx="134">
                  <c:v>2012/03</c:v>
                </c:pt>
                <c:pt idx="135">
                  <c:v>2012/04</c:v>
                </c:pt>
                <c:pt idx="136">
                  <c:v>2012/05</c:v>
                </c:pt>
                <c:pt idx="137">
                  <c:v>2012/06</c:v>
                </c:pt>
                <c:pt idx="138">
                  <c:v>2012/07</c:v>
                </c:pt>
                <c:pt idx="139">
                  <c:v>2012/08</c:v>
                </c:pt>
                <c:pt idx="140">
                  <c:v>2012/09</c:v>
                </c:pt>
                <c:pt idx="141">
                  <c:v>2012/10</c:v>
                </c:pt>
                <c:pt idx="142">
                  <c:v>2012/11</c:v>
                </c:pt>
                <c:pt idx="143">
                  <c:v>2012/12</c:v>
                </c:pt>
                <c:pt idx="144">
                  <c:v>2013/01</c:v>
                </c:pt>
                <c:pt idx="145">
                  <c:v>2013/02</c:v>
                </c:pt>
                <c:pt idx="146">
                  <c:v>2013/03</c:v>
                </c:pt>
                <c:pt idx="147">
                  <c:v>2013/04</c:v>
                </c:pt>
                <c:pt idx="148">
                  <c:v>2013/05</c:v>
                </c:pt>
                <c:pt idx="149">
                  <c:v>2013/06</c:v>
                </c:pt>
                <c:pt idx="150">
                  <c:v>2013/07</c:v>
                </c:pt>
                <c:pt idx="151">
                  <c:v>2013/08</c:v>
                </c:pt>
                <c:pt idx="152">
                  <c:v>2013/09</c:v>
                </c:pt>
                <c:pt idx="153">
                  <c:v>2013/10</c:v>
                </c:pt>
                <c:pt idx="154">
                  <c:v>2013/11</c:v>
                </c:pt>
                <c:pt idx="155">
                  <c:v>2013/12</c:v>
                </c:pt>
                <c:pt idx="156">
                  <c:v>2014/01</c:v>
                </c:pt>
                <c:pt idx="157">
                  <c:v>2014/02</c:v>
                </c:pt>
                <c:pt idx="158">
                  <c:v>2014/03</c:v>
                </c:pt>
                <c:pt idx="159">
                  <c:v>2014/04</c:v>
                </c:pt>
                <c:pt idx="160">
                  <c:v>2014/05</c:v>
                </c:pt>
                <c:pt idx="161">
                  <c:v>2014/06</c:v>
                </c:pt>
                <c:pt idx="162">
                  <c:v>2014/07</c:v>
                </c:pt>
                <c:pt idx="163">
                  <c:v>2014/08</c:v>
                </c:pt>
                <c:pt idx="164">
                  <c:v>2014/09</c:v>
                </c:pt>
                <c:pt idx="165">
                  <c:v>2014/10</c:v>
                </c:pt>
                <c:pt idx="166">
                  <c:v>2014/11</c:v>
                </c:pt>
                <c:pt idx="167">
                  <c:v>2014/12</c:v>
                </c:pt>
                <c:pt idx="168">
                  <c:v>2015/01</c:v>
                </c:pt>
                <c:pt idx="169">
                  <c:v>2015/02</c:v>
                </c:pt>
                <c:pt idx="170">
                  <c:v>2015/03</c:v>
                </c:pt>
                <c:pt idx="171">
                  <c:v>2015/04</c:v>
                </c:pt>
                <c:pt idx="172">
                  <c:v>2015/05</c:v>
                </c:pt>
                <c:pt idx="173">
                  <c:v>2015/06</c:v>
                </c:pt>
                <c:pt idx="174">
                  <c:v>2015/07</c:v>
                </c:pt>
                <c:pt idx="175">
                  <c:v>2015/08</c:v>
                </c:pt>
                <c:pt idx="176">
                  <c:v>2015/09</c:v>
                </c:pt>
                <c:pt idx="177">
                  <c:v>2015/10</c:v>
                </c:pt>
                <c:pt idx="178">
                  <c:v>2015/11</c:v>
                </c:pt>
                <c:pt idx="179">
                  <c:v>2015/12</c:v>
                </c:pt>
                <c:pt idx="180">
                  <c:v>2016/01</c:v>
                </c:pt>
                <c:pt idx="181">
                  <c:v>2016/02</c:v>
                </c:pt>
                <c:pt idx="182">
                  <c:v>2016/03</c:v>
                </c:pt>
                <c:pt idx="183">
                  <c:v>2016/04</c:v>
                </c:pt>
                <c:pt idx="184">
                  <c:v>2016/05</c:v>
                </c:pt>
                <c:pt idx="185">
                  <c:v>2016/06</c:v>
                </c:pt>
                <c:pt idx="186">
                  <c:v>2016/07</c:v>
                </c:pt>
                <c:pt idx="187">
                  <c:v>2016/08</c:v>
                </c:pt>
                <c:pt idx="188">
                  <c:v>2016/09</c:v>
                </c:pt>
                <c:pt idx="189">
                  <c:v>2016/10</c:v>
                </c:pt>
                <c:pt idx="190">
                  <c:v>2016/11</c:v>
                </c:pt>
                <c:pt idx="191">
                  <c:v>2016/12</c:v>
                </c:pt>
                <c:pt idx="192">
                  <c:v>2017/01</c:v>
                </c:pt>
                <c:pt idx="193">
                  <c:v>2017/02</c:v>
                </c:pt>
                <c:pt idx="194">
                  <c:v>2017/03</c:v>
                </c:pt>
                <c:pt idx="195">
                  <c:v>2017/04</c:v>
                </c:pt>
                <c:pt idx="196">
                  <c:v>2017/05</c:v>
                </c:pt>
                <c:pt idx="197">
                  <c:v>2017/06</c:v>
                </c:pt>
                <c:pt idx="198">
                  <c:v>2017/07</c:v>
                </c:pt>
                <c:pt idx="199">
                  <c:v>2017/08</c:v>
                </c:pt>
                <c:pt idx="200">
                  <c:v>2017/09</c:v>
                </c:pt>
                <c:pt idx="201">
                  <c:v>2017/10</c:v>
                </c:pt>
                <c:pt idx="202">
                  <c:v>2017/11</c:v>
                </c:pt>
                <c:pt idx="203">
                  <c:v>2017/12</c:v>
                </c:pt>
                <c:pt idx="204">
                  <c:v>2018/01</c:v>
                </c:pt>
                <c:pt idx="205">
                  <c:v>2018/02</c:v>
                </c:pt>
                <c:pt idx="206">
                  <c:v>2018/03</c:v>
                </c:pt>
                <c:pt idx="207">
                  <c:v>2018/04</c:v>
                </c:pt>
                <c:pt idx="208">
                  <c:v>2018/05</c:v>
                </c:pt>
                <c:pt idx="209">
                  <c:v>2018/06</c:v>
                </c:pt>
                <c:pt idx="210">
                  <c:v>2018/07</c:v>
                </c:pt>
                <c:pt idx="211">
                  <c:v>2018/08</c:v>
                </c:pt>
                <c:pt idx="212">
                  <c:v>2018/09</c:v>
                </c:pt>
                <c:pt idx="213">
                  <c:v>2018/10</c:v>
                </c:pt>
                <c:pt idx="214">
                  <c:v>2018/11</c:v>
                </c:pt>
                <c:pt idx="215">
                  <c:v>2018/12</c:v>
                </c:pt>
                <c:pt idx="216">
                  <c:v>2019/01</c:v>
                </c:pt>
                <c:pt idx="217">
                  <c:v>2019/02</c:v>
                </c:pt>
                <c:pt idx="218">
                  <c:v>2019/03</c:v>
                </c:pt>
                <c:pt idx="219">
                  <c:v>2019/04</c:v>
                </c:pt>
                <c:pt idx="220">
                  <c:v>2019/05</c:v>
                </c:pt>
                <c:pt idx="221">
                  <c:v>2019/06</c:v>
                </c:pt>
                <c:pt idx="222">
                  <c:v>2019/07</c:v>
                </c:pt>
                <c:pt idx="223">
                  <c:v>2019/08</c:v>
                </c:pt>
                <c:pt idx="224">
                  <c:v>2019/09</c:v>
                </c:pt>
                <c:pt idx="225">
                  <c:v>2019/10</c:v>
                </c:pt>
                <c:pt idx="226">
                  <c:v>2019/11</c:v>
                </c:pt>
                <c:pt idx="227">
                  <c:v>2019/12</c:v>
                </c:pt>
                <c:pt idx="228">
                  <c:v>2020/01</c:v>
                </c:pt>
                <c:pt idx="229">
                  <c:v>2020/02</c:v>
                </c:pt>
                <c:pt idx="230">
                  <c:v>2020/03</c:v>
                </c:pt>
                <c:pt idx="231">
                  <c:v>2020/04</c:v>
                </c:pt>
                <c:pt idx="232">
                  <c:v>2020/05</c:v>
                </c:pt>
                <c:pt idx="233">
                  <c:v>2020/06</c:v>
                </c:pt>
                <c:pt idx="234">
                  <c:v>2020/07</c:v>
                </c:pt>
                <c:pt idx="235">
                  <c:v>2020/08</c:v>
                </c:pt>
                <c:pt idx="236">
                  <c:v>2020/09</c:v>
                </c:pt>
                <c:pt idx="237">
                  <c:v>2020/10</c:v>
                </c:pt>
                <c:pt idx="238">
                  <c:v>2020/11</c:v>
                </c:pt>
                <c:pt idx="239">
                  <c:v>2020/12</c:v>
                </c:pt>
                <c:pt idx="240">
                  <c:v>2021/01</c:v>
                </c:pt>
                <c:pt idx="241">
                  <c:v>2021/02</c:v>
                </c:pt>
                <c:pt idx="242">
                  <c:v>2021/03</c:v>
                </c:pt>
                <c:pt idx="243">
                  <c:v>2021/04</c:v>
                </c:pt>
                <c:pt idx="244">
                  <c:v>2021/05</c:v>
                </c:pt>
                <c:pt idx="245">
                  <c:v>2021/06</c:v>
                </c:pt>
                <c:pt idx="246">
                  <c:v>2021/07</c:v>
                </c:pt>
                <c:pt idx="247">
                  <c:v>2021/08</c:v>
                </c:pt>
                <c:pt idx="248">
                  <c:v>2021/09</c:v>
                </c:pt>
                <c:pt idx="249">
                  <c:v>2021/10</c:v>
                </c:pt>
                <c:pt idx="250">
                  <c:v>2021/11</c:v>
                </c:pt>
                <c:pt idx="251">
                  <c:v>2021/12</c:v>
                </c:pt>
                <c:pt idx="252">
                  <c:v>2022/01</c:v>
                </c:pt>
                <c:pt idx="253">
                  <c:v>2022/02</c:v>
                </c:pt>
                <c:pt idx="254">
                  <c:v>2022/03</c:v>
                </c:pt>
                <c:pt idx="255">
                  <c:v>2022/04</c:v>
                </c:pt>
                <c:pt idx="256">
                  <c:v>2022/05</c:v>
                </c:pt>
                <c:pt idx="257">
                  <c:v>2022/06</c:v>
                </c:pt>
                <c:pt idx="258">
                  <c:v>2022/07</c:v>
                </c:pt>
                <c:pt idx="259">
                  <c:v>2022/08</c:v>
                </c:pt>
                <c:pt idx="260">
                  <c:v>2022/09</c:v>
                </c:pt>
                <c:pt idx="261">
                  <c:v>2022/10</c:v>
                </c:pt>
                <c:pt idx="262">
                  <c:v>2022/11</c:v>
                </c:pt>
                <c:pt idx="263">
                  <c:v>2022/12</c:v>
                </c:pt>
                <c:pt idx="264">
                  <c:v>2023/01</c:v>
                </c:pt>
                <c:pt idx="265">
                  <c:v>2023/02</c:v>
                </c:pt>
                <c:pt idx="266">
                  <c:v>2023/03</c:v>
                </c:pt>
                <c:pt idx="267">
                  <c:v>2023/04</c:v>
                </c:pt>
                <c:pt idx="268">
                  <c:v>2023/05</c:v>
                </c:pt>
                <c:pt idx="269">
                  <c:v>2023/06</c:v>
                </c:pt>
                <c:pt idx="270">
                  <c:v>2023/07</c:v>
                </c:pt>
                <c:pt idx="271">
                  <c:v>2023/08</c:v>
                </c:pt>
                <c:pt idx="272">
                  <c:v>2023/09</c:v>
                </c:pt>
                <c:pt idx="273">
                  <c:v>2023/10</c:v>
                </c:pt>
                <c:pt idx="274">
                  <c:v>2023/11</c:v>
                </c:pt>
                <c:pt idx="275">
                  <c:v>2023/12</c:v>
                </c:pt>
              </c:strCache>
            </c:strRef>
          </c:cat>
          <c:val>
            <c:numRef>
              <c:f>'3-1 data'!$B$2:$B$277</c:f>
              <c:numCache>
                <c:formatCode>0.0000</c:formatCode>
                <c:ptCount val="276"/>
                <c:pt idx="0">
                  <c:v>0.22450556854662906</c:v>
                </c:pt>
                <c:pt idx="1">
                  <c:v>-6.4426858280331997E-2</c:v>
                </c:pt>
                <c:pt idx="2">
                  <c:v>-9.4931672720982518E-2</c:v>
                </c:pt>
                <c:pt idx="3">
                  <c:v>0.10347463781965519</c:v>
                </c:pt>
                <c:pt idx="4">
                  <c:v>6.0274352223915674E-2</c:v>
                </c:pt>
                <c:pt idx="5">
                  <c:v>-2.7819524307370579E-2</c:v>
                </c:pt>
                <c:pt idx="6">
                  <c:v>-9.0030749584124548E-2</c:v>
                </c:pt>
                <c:pt idx="7">
                  <c:v>6.5737235712308361E-3</c:v>
                </c:pt>
                <c:pt idx="8">
                  <c:v>-0.12003081946763039</c:v>
                </c:pt>
                <c:pt idx="9">
                  <c:v>0.12118495663775837</c:v>
                </c:pt>
                <c:pt idx="10">
                  <c:v>0.19724437998549682</c:v>
                </c:pt>
                <c:pt idx="11">
                  <c:v>7.7357933808569881E-2</c:v>
                </c:pt>
                <c:pt idx="12">
                  <c:v>7.8376819950987456E-2</c:v>
                </c:pt>
                <c:pt idx="13">
                  <c:v>9.6140735492667731E-2</c:v>
                </c:pt>
                <c:pt idx="14">
                  <c:v>9.2184051025012537E-2</c:v>
                </c:pt>
                <c:pt idx="15">
                  <c:v>-5.9447508876928928E-2</c:v>
                </c:pt>
                <c:pt idx="16">
                  <c:v>-5.4538547379917909E-2</c:v>
                </c:pt>
                <c:pt idx="17">
                  <c:v>-6.7403314917127005E-2</c:v>
                </c:pt>
                <c:pt idx="18">
                  <c:v>-3.329653166738477E-2</c:v>
                </c:pt>
                <c:pt idx="19">
                  <c:v>2.5641025641025595E-2</c:v>
                </c:pt>
                <c:pt idx="20">
                  <c:v>-0.12218902770233571</c:v>
                </c:pt>
                <c:pt idx="21">
                  <c:v>1.933727298041521E-2</c:v>
                </c:pt>
                <c:pt idx="22">
                  <c:v>9.9981788380987063E-2</c:v>
                </c:pt>
                <c:pt idx="23">
                  <c:v>-0.13417494481236203</c:v>
                </c:pt>
                <c:pt idx="24">
                  <c:v>-5.6871962393434693E-2</c:v>
                </c:pt>
                <c:pt idx="25">
                  <c:v>-2.7759943229817969E-2</c:v>
                </c:pt>
                <c:pt idx="26">
                  <c:v>-6.904401925516554E-2</c:v>
                </c:pt>
                <c:pt idx="27">
                  <c:v>0.11881650177338057</c:v>
                </c:pt>
                <c:pt idx="28">
                  <c:v>5.6844915324935241E-2</c:v>
                </c:pt>
                <c:pt idx="29">
                  <c:v>5.763948091313819E-2</c:v>
                </c:pt>
                <c:pt idx="30">
                  <c:v>6.5066499485020871E-2</c:v>
                </c:pt>
                <c:pt idx="31">
                  <c:v>6.4399035766341581E-2</c:v>
                </c:pt>
                <c:pt idx="32">
                  <c:v>-8.1570042266317352E-2</c:v>
                </c:pt>
                <c:pt idx="33">
                  <c:v>0.12163092097717633</c:v>
                </c:pt>
                <c:pt idx="34">
                  <c:v>1.766450227516736E-2</c:v>
                </c:pt>
                <c:pt idx="35">
                  <c:v>1.8249642040744665E-2</c:v>
                </c:pt>
                <c:pt idx="36">
                  <c:v>4.6613462273809331E-2</c:v>
                </c:pt>
                <c:pt idx="37">
                  <c:v>4.1154979375368252E-2</c:v>
                </c:pt>
                <c:pt idx="38">
                  <c:v>-3.3053360802335913E-3</c:v>
                </c:pt>
                <c:pt idx="39">
                  <c:v>-2.0056785917092524E-2</c:v>
                </c:pt>
                <c:pt idx="40">
                  <c:v>-6.8378841963747619E-2</c:v>
                </c:pt>
                <c:pt idx="41">
                  <c:v>-2.2454717356687984E-2</c:v>
                </c:pt>
                <c:pt idx="42">
                  <c:v>-6.4202904083788204E-2</c:v>
                </c:pt>
                <c:pt idx="43">
                  <c:v>9.2787010090570374E-2</c:v>
                </c:pt>
                <c:pt idx="44">
                  <c:v>3.9224958622148635E-2</c:v>
                </c:pt>
                <c:pt idx="45">
                  <c:v>-2.9936893029493825E-4</c:v>
                </c:pt>
                <c:pt idx="46">
                  <c:v>5.1770399118393838E-2</c:v>
                </c:pt>
                <c:pt idx="47">
                  <c:v>2.03402956517778E-2</c:v>
                </c:pt>
                <c:pt idx="48">
                  <c:v>4.1052772568979469E-2</c:v>
                </c:pt>
                <c:pt idx="49">
                  <c:v>8.4335799292376931E-2</c:v>
                </c:pt>
                <c:pt idx="50">
                  <c:v>-4.5166903970890744E-2</c:v>
                </c:pt>
                <c:pt idx="51">
                  <c:v>-5.6312650153259876E-2</c:v>
                </c:pt>
                <c:pt idx="52">
                  <c:v>6.4643915285855461E-2</c:v>
                </c:pt>
                <c:pt idx="53">
                  <c:v>3.9115243091701724E-2</c:v>
                </c:pt>
                <c:pt idx="54">
                  <c:v>0.10229527059196952</c:v>
                </c:pt>
                <c:pt idx="55">
                  <c:v>-2.5159949248171078E-2</c:v>
                </c:pt>
                <c:pt idx="56">
                  <c:v>0.12708962181422104</c:v>
                </c:pt>
                <c:pt idx="57">
                  <c:v>-5.1514729609094187E-2</c:v>
                </c:pt>
                <c:pt idx="58">
                  <c:v>0.12030808817815247</c:v>
                </c:pt>
                <c:pt idx="59">
                  <c:v>6.3147428782833762E-2</c:v>
                </c:pt>
                <c:pt idx="60">
                  <c:v>1.4832858478870817E-2</c:v>
                </c:pt>
                <c:pt idx="61">
                  <c:v>-2.0173878256645458E-2</c:v>
                </c:pt>
                <c:pt idx="62">
                  <c:v>-8.7416793648247733E-3</c:v>
                </c:pt>
                <c:pt idx="63">
                  <c:v>4.4226243012650865E-2</c:v>
                </c:pt>
                <c:pt idx="64">
                  <c:v>-7.1865777295682956E-2</c:v>
                </c:pt>
                <c:pt idx="65">
                  <c:v>-1.7113151703726154E-2</c:v>
                </c:pt>
                <c:pt idx="66">
                  <c:v>2.0615372736747443E-3</c:v>
                </c:pt>
                <c:pt idx="67">
                  <c:v>4.231711639518583E-2</c:v>
                </c:pt>
                <c:pt idx="68">
                  <c:v>1.3801617457900315E-2</c:v>
                </c:pt>
                <c:pt idx="69">
                  <c:v>-5.002151070795843E-3</c:v>
                </c:pt>
                <c:pt idx="70">
                  <c:v>4.9584111978307928E-2</c:v>
                </c:pt>
                <c:pt idx="71">
                  <c:v>1.5709986663966875E-3</c:v>
                </c:pt>
                <c:pt idx="72">
                  <c:v>-5.1747695997099968E-2</c:v>
                </c:pt>
                <c:pt idx="73">
                  <c:v>4.1985546561978414E-2</c:v>
                </c:pt>
                <c:pt idx="74">
                  <c:v>2.4842310243131528E-2</c:v>
                </c:pt>
                <c:pt idx="75">
                  <c:v>6.1746583594368562E-2</c:v>
                </c:pt>
                <c:pt idx="76">
                  <c:v>0.10288281979458455</c:v>
                </c:pt>
                <c:pt idx="77">
                  <c:v>2.5098329717621642E-2</c:v>
                </c:pt>
                <c:pt idx="78">
                  <c:v>0.10878068364303745</c:v>
                </c:pt>
                <c:pt idx="79">
                  <c:v>-3.1051017188494092E-2</c:v>
                </c:pt>
                <c:pt idx="80">
                  <c:v>3.9098033353974937E-2</c:v>
                </c:pt>
                <c:pt idx="81">
                  <c:v>6.0812338169413449E-2</c:v>
                </c:pt>
                <c:pt idx="82">
                  <c:v>-7.6930527641232982E-2</c:v>
                </c:pt>
                <c:pt idx="83">
                  <c:v>-4.6537250786987889E-3</c:v>
                </c:pt>
                <c:pt idx="84">
                  <c:v>-0.14361166604291747</c:v>
                </c:pt>
                <c:pt idx="85">
                  <c:v>5.3512076224240972E-2</c:v>
                </c:pt>
                <c:pt idx="86">
                  <c:v>-4.4577651581541944E-3</c:v>
                </c:pt>
                <c:pt idx="87">
                  <c:v>7.1291498189543376E-2</c:v>
                </c:pt>
                <c:pt idx="88">
                  <c:v>1.454419957599958E-2</c:v>
                </c:pt>
                <c:pt idx="89">
                  <c:v>-9.5625317221196271E-2</c:v>
                </c:pt>
                <c:pt idx="90">
                  <c:v>-4.7912736130680866E-2</c:v>
                </c:pt>
                <c:pt idx="91">
                  <c:v>-7.5520327089617326E-2</c:v>
                </c:pt>
                <c:pt idx="92">
                  <c:v>-1.7758302583025874E-2</c:v>
                </c:pt>
                <c:pt idx="93">
                  <c:v>-0.23134400508266234</c:v>
                </c:pt>
                <c:pt idx="94">
                  <c:v>-3.3232709826963518E-2</c:v>
                </c:pt>
                <c:pt idx="95">
                  <c:v>4.497848652968682E-2</c:v>
                </c:pt>
                <c:pt idx="96">
                  <c:v>3.34735475379511E-2</c:v>
                </c:pt>
                <c:pt idx="97">
                  <c:v>-8.5258710449096844E-2</c:v>
                </c:pt>
                <c:pt idx="98">
                  <c:v>0.1347374956492291</c:v>
                </c:pt>
                <c:pt idx="99">
                  <c:v>0.13521131431034761</c:v>
                </c:pt>
                <c:pt idx="100">
                  <c:v>1.9374014137991617E-2</c:v>
                </c:pt>
                <c:pt idx="101">
                  <c:v>-4.1693829743032502E-3</c:v>
                </c:pt>
                <c:pt idx="102">
                  <c:v>0.12029610019639302</c:v>
                </c:pt>
                <c:pt idx="103">
                  <c:v>2.2192398333001524E-2</c:v>
                </c:pt>
                <c:pt idx="104">
                  <c:v>5.1066369318717338E-2</c:v>
                </c:pt>
                <c:pt idx="105">
                  <c:v>-5.5255388072725557E-2</c:v>
                </c:pt>
                <c:pt idx="106">
                  <c:v>-1.5872815036471505E-2</c:v>
                </c:pt>
                <c:pt idx="107">
                  <c:v>8.1749807148367243E-2</c:v>
                </c:pt>
                <c:pt idx="108">
                  <c:v>-4.7742709936592596E-2</c:v>
                </c:pt>
                <c:pt idx="109">
                  <c:v>-4.8988099324152297E-3</c:v>
                </c:pt>
                <c:pt idx="110">
                  <c:v>6.1627513200968272E-2</c:v>
                </c:pt>
                <c:pt idx="111">
                  <c:v>2.8773961071565726E-2</c:v>
                </c:pt>
                <c:pt idx="112">
                  <c:v>-5.7597785893107302E-2</c:v>
                </c:pt>
                <c:pt idx="113">
                  <c:v>3.4753998476770735E-2</c:v>
                </c:pt>
                <c:pt idx="114">
                  <c:v>3.5942035812493722E-2</c:v>
                </c:pt>
                <c:pt idx="115">
                  <c:v>-9.4240421069383962E-3</c:v>
                </c:pt>
                <c:pt idx="116">
                  <c:v>7.4629178023239096E-2</c:v>
                </c:pt>
                <c:pt idx="117">
                  <c:v>5.4143239303507031E-3</c:v>
                </c:pt>
                <c:pt idx="118">
                  <c:v>1.1513847951352964E-2</c:v>
                </c:pt>
                <c:pt idx="119">
                  <c:v>7.6849571832849364E-2</c:v>
                </c:pt>
                <c:pt idx="120">
                  <c:v>9.1321306679668542E-3</c:v>
                </c:pt>
                <c:pt idx="121">
                  <c:v>-6.3017881559430486E-2</c:v>
                </c:pt>
                <c:pt idx="122">
                  <c:v>8.631980611560866E-2</c:v>
                </c:pt>
                <c:pt idx="123">
                  <c:v>4.0660749038781183E-2</c:v>
                </c:pt>
                <c:pt idx="124">
                  <c:v>-2.2756299147950302E-2</c:v>
                </c:pt>
                <c:pt idx="125">
                  <c:v>-1.9500856488072062E-2</c:v>
                </c:pt>
                <c:pt idx="126">
                  <c:v>1.5480627793724911E-2</c:v>
                </c:pt>
                <c:pt idx="127">
                  <c:v>-0.1186474843076866</c:v>
                </c:pt>
                <c:pt idx="128">
                  <c:v>-5.8751881538846036E-2</c:v>
                </c:pt>
                <c:pt idx="129">
                  <c:v>7.8761336987539843E-2</c:v>
                </c:pt>
                <c:pt idx="130">
                  <c:v>-3.2225790060920981E-2</c:v>
                </c:pt>
                <c:pt idx="131">
                  <c:v>-1.1783427423938156E-2</c:v>
                </c:pt>
                <c:pt idx="132">
                  <c:v>7.1231391107167474E-2</c:v>
                </c:pt>
                <c:pt idx="133">
                  <c:v>3.8071572101299238E-2</c:v>
                </c:pt>
                <c:pt idx="134">
                  <c:v>-7.9842383942864362E-3</c:v>
                </c:pt>
                <c:pt idx="135">
                  <c:v>-1.5913288713233081E-2</c:v>
                </c:pt>
                <c:pt idx="136">
                  <c:v>-6.9889353629433035E-2</c:v>
                </c:pt>
                <c:pt idx="137">
                  <c:v>5.7174784509647367E-3</c:v>
                </c:pt>
                <c:pt idx="138">
                  <c:v>1.5091612235101222E-2</c:v>
                </c:pt>
                <c:pt idx="139">
                  <c:v>1.229018220075552E-2</c:v>
                </c:pt>
                <c:pt idx="140">
                  <c:v>4.7813261106911982E-2</c:v>
                </c:pt>
                <c:pt idx="141">
                  <c:v>-4.2154883504240584E-2</c:v>
                </c:pt>
                <c:pt idx="142">
                  <c:v>1.0899239563612098E-2</c:v>
                </c:pt>
                <c:pt idx="143">
                  <c:v>3.3188473278493384E-2</c:v>
                </c:pt>
                <c:pt idx="144">
                  <c:v>-1.7580931874514861E-2</c:v>
                </c:pt>
                <c:pt idx="145">
                  <c:v>3.290110808689356E-2</c:v>
                </c:pt>
                <c:pt idx="146">
                  <c:v>-1.0658823877739297E-2</c:v>
                </c:pt>
                <c:pt idx="147">
                  <c:v>-2.0420072921706455E-2</c:v>
                </c:pt>
                <c:pt idx="148">
                  <c:v>1.8890501285674231E-2</c:v>
                </c:pt>
                <c:pt idx="149">
                  <c:v>-6.8828864845955878E-2</c:v>
                </c:pt>
                <c:pt idx="150">
                  <c:v>2.7214863791511945E-2</c:v>
                </c:pt>
                <c:pt idx="151">
                  <c:v>6.4419052992899422E-3</c:v>
                </c:pt>
                <c:pt idx="152">
                  <c:v>3.6649432089536818E-2</c:v>
                </c:pt>
                <c:pt idx="153">
                  <c:v>1.6590217130037596E-2</c:v>
                </c:pt>
                <c:pt idx="154">
                  <c:v>7.2804653980857864E-3</c:v>
                </c:pt>
                <c:pt idx="155">
                  <c:v>-1.639713037992634E-2</c:v>
                </c:pt>
                <c:pt idx="156">
                  <c:v>-3.4897133254447196E-2</c:v>
                </c:pt>
                <c:pt idx="157">
                  <c:v>2.0008757695180648E-2</c:v>
                </c:pt>
                <c:pt idx="158">
                  <c:v>2.8383981737280951E-3</c:v>
                </c:pt>
                <c:pt idx="159">
                  <c:v>-1.1996313475455874E-2</c:v>
                </c:pt>
                <c:pt idx="160">
                  <c:v>1.6908027872504231E-2</c:v>
                </c:pt>
                <c:pt idx="161">
                  <c:v>3.6341580783574609E-3</c:v>
                </c:pt>
                <c:pt idx="162">
                  <c:v>3.6914209798172948E-2</c:v>
                </c:pt>
                <c:pt idx="163">
                  <c:v>-3.6510413656243028E-3</c:v>
                </c:pt>
                <c:pt idx="164">
                  <c:v>-2.3422317189902078E-2</c:v>
                </c:pt>
                <c:pt idx="165">
                  <c:v>-2.7553227826482906E-2</c:v>
                </c:pt>
                <c:pt idx="166">
                  <c:v>8.3230249996181626E-3</c:v>
                </c:pt>
                <c:pt idx="167">
                  <c:v>-3.2911277375579348E-2</c:v>
                </c:pt>
                <c:pt idx="168">
                  <c:v>1.7576830115003772E-2</c:v>
                </c:pt>
                <c:pt idx="169">
                  <c:v>1.8745575243938706E-2</c:v>
                </c:pt>
                <c:pt idx="170">
                  <c:v>2.7812468526538434E-2</c:v>
                </c:pt>
                <c:pt idx="171">
                  <c:v>4.2204181222226085E-2</c:v>
                </c:pt>
                <c:pt idx="172">
                  <c:v>-5.8152380862836021E-3</c:v>
                </c:pt>
                <c:pt idx="173">
                  <c:v>-1.9198032910913734E-2</c:v>
                </c:pt>
                <c:pt idx="174">
                  <c:v>-2.1232282325715814E-2</c:v>
                </c:pt>
                <c:pt idx="175">
                  <c:v>-4.3676360483902783E-2</c:v>
                </c:pt>
                <c:pt idx="176">
                  <c:v>1.0981256663696407E-2</c:v>
                </c:pt>
                <c:pt idx="177">
                  <c:v>3.3961514359515228E-2</c:v>
                </c:pt>
                <c:pt idx="178">
                  <c:v>-1.8477730639033838E-2</c:v>
                </c:pt>
                <c:pt idx="179">
                  <c:v>-1.5391798069248072E-2</c:v>
                </c:pt>
                <c:pt idx="180">
                  <c:v>-2.5110767803151975E-2</c:v>
                </c:pt>
                <c:pt idx="181">
                  <c:v>2.4057822453271011E-3</c:v>
                </c:pt>
                <c:pt idx="182">
                  <c:v>4.1316665449271033E-2</c:v>
                </c:pt>
                <c:pt idx="183">
                  <c:v>-8.5176741739099537E-4</c:v>
                </c:pt>
                <c:pt idx="184">
                  <c:v>-5.3907679963894391E-3</c:v>
                </c:pt>
                <c:pt idx="185">
                  <c:v>-6.5796107693859946E-3</c:v>
                </c:pt>
                <c:pt idx="186">
                  <c:v>2.3264902174740604E-2</c:v>
                </c:pt>
                <c:pt idx="187">
                  <c:v>9.1558831260942844E-3</c:v>
                </c:pt>
                <c:pt idx="188">
                  <c:v>4.4135354975057221E-3</c:v>
                </c:pt>
                <c:pt idx="189">
                  <c:v>-1.7341691010603705E-2</c:v>
                </c:pt>
                <c:pt idx="190">
                  <c:v>-1.2304612611356514E-2</c:v>
                </c:pt>
                <c:pt idx="191">
                  <c:v>2.1668985822897138E-2</c:v>
                </c:pt>
                <c:pt idx="192">
                  <c:v>2.0286608173859896E-2</c:v>
                </c:pt>
                <c:pt idx="193">
                  <c:v>1.1641685650304321E-2</c:v>
                </c:pt>
                <c:pt idx="194">
                  <c:v>3.279244994358501E-2</c:v>
                </c:pt>
                <c:pt idx="195">
                  <c:v>2.0928327076283559E-2</c:v>
                </c:pt>
                <c:pt idx="196">
                  <c:v>6.435903946604761E-2</c:v>
                </c:pt>
                <c:pt idx="197">
                  <c:v>1.8918964973715313E-2</c:v>
                </c:pt>
                <c:pt idx="198">
                  <c:v>4.5656182189908285E-3</c:v>
                </c:pt>
                <c:pt idx="199">
                  <c:v>-1.6448094027160989E-2</c:v>
                </c:pt>
                <c:pt idx="200">
                  <c:v>1.3236345786838868E-2</c:v>
                </c:pt>
                <c:pt idx="201">
                  <c:v>5.3857429827895126E-2</c:v>
                </c:pt>
                <c:pt idx="202">
                  <c:v>-1.8649219514708135E-2</c:v>
                </c:pt>
                <c:pt idx="203">
                  <c:v>-3.5858938688483988E-3</c:v>
                </c:pt>
                <c:pt idx="204">
                  <c:v>4.0109585043911128E-2</c:v>
                </c:pt>
                <c:pt idx="205">
                  <c:v>-5.4199169283760472E-2</c:v>
                </c:pt>
                <c:pt idx="206">
                  <c:v>7.6173291147583304E-3</c:v>
                </c:pt>
                <c:pt idx="207">
                  <c:v>2.8427744955741442E-2</c:v>
                </c:pt>
                <c:pt idx="208">
                  <c:v>-3.6722085728597621E-2</c:v>
                </c:pt>
                <c:pt idx="209">
                  <c:v>-3.9983326523621486E-2</c:v>
                </c:pt>
                <c:pt idx="210">
                  <c:v>-1.3270969378323606E-2</c:v>
                </c:pt>
                <c:pt idx="211">
                  <c:v>1.2033495116021666E-2</c:v>
                </c:pt>
                <c:pt idx="212">
                  <c:v>8.6917963906874458E-3</c:v>
                </c:pt>
                <c:pt idx="213">
                  <c:v>-0.13374760463835911</c:v>
                </c:pt>
                <c:pt idx="214">
                  <c:v>3.3093723672087891E-2</c:v>
                </c:pt>
                <c:pt idx="215">
                  <c:v>-2.6620756750569977E-2</c:v>
                </c:pt>
                <c:pt idx="216">
                  <c:v>8.0258103711833159E-2</c:v>
                </c:pt>
                <c:pt idx="217">
                  <c:v>-4.2678640270312519E-3</c:v>
                </c:pt>
                <c:pt idx="218">
                  <c:v>-2.4947163211019193E-2</c:v>
                </c:pt>
                <c:pt idx="219">
                  <c:v>2.9392666781895421E-2</c:v>
                </c:pt>
                <c:pt idx="220">
                  <c:v>-7.3448327501940067E-2</c:v>
                </c:pt>
                <c:pt idx="221">
                  <c:v>4.3531497644166195E-2</c:v>
                </c:pt>
                <c:pt idx="222">
                  <c:v>-4.9783631055749004E-2</c:v>
                </c:pt>
                <c:pt idx="223">
                  <c:v>-2.8035859820700892E-2</c:v>
                </c:pt>
                <c:pt idx="224">
                  <c:v>4.8409637207222425E-2</c:v>
                </c:pt>
                <c:pt idx="225">
                  <c:v>9.9028137951091035E-3</c:v>
                </c:pt>
                <c:pt idx="226">
                  <c:v>2.150248622496985E-3</c:v>
                </c:pt>
                <c:pt idx="227">
                  <c:v>5.2544110040422247E-2</c:v>
                </c:pt>
                <c:pt idx="228">
                  <c:v>-3.5792452916042834E-2</c:v>
                </c:pt>
                <c:pt idx="229">
                  <c:v>-6.2293240711464415E-2</c:v>
                </c:pt>
                <c:pt idx="230">
                  <c:v>-0.11694455488397135</c:v>
                </c:pt>
                <c:pt idx="231">
                  <c:v>0.10994847946017407</c:v>
                </c:pt>
                <c:pt idx="232">
                  <c:v>4.2124504508205124E-2</c:v>
                </c:pt>
                <c:pt idx="233">
                  <c:v>3.8790894757587714E-2</c:v>
                </c:pt>
                <c:pt idx="234">
                  <c:v>6.6896548453041021E-2</c:v>
                </c:pt>
                <c:pt idx="235">
                  <c:v>3.4142893343469587E-2</c:v>
                </c:pt>
                <c:pt idx="236">
                  <c:v>7.3941285460641304E-4</c:v>
                </c:pt>
                <c:pt idx="237">
                  <c:v>-2.6092298175600988E-2</c:v>
                </c:pt>
                <c:pt idx="238">
                  <c:v>0.14299450852391771</c:v>
                </c:pt>
                <c:pt idx="239">
                  <c:v>0.10887417320768392</c:v>
                </c:pt>
                <c:pt idx="240">
                  <c:v>3.5754679881815452E-2</c:v>
                </c:pt>
                <c:pt idx="241">
                  <c:v>1.2344559019692758E-2</c:v>
                </c:pt>
                <c:pt idx="242">
                  <c:v>1.6087223485288592E-2</c:v>
                </c:pt>
                <c:pt idx="243">
                  <c:v>2.8235263374512497E-2</c:v>
                </c:pt>
                <c:pt idx="244">
                  <c:v>1.7808924157999385E-2</c:v>
                </c:pt>
                <c:pt idx="245">
                  <c:v>2.8952033758645586E-2</c:v>
                </c:pt>
                <c:pt idx="246">
                  <c:v>-2.8622735600664813E-2</c:v>
                </c:pt>
                <c:pt idx="247">
                  <c:v>-9.5243448499843296E-4</c:v>
                </c:pt>
                <c:pt idx="248">
                  <c:v>-4.0774926780171673E-2</c:v>
                </c:pt>
                <c:pt idx="249">
                  <c:v>-3.1979718588903985E-2</c:v>
                </c:pt>
                <c:pt idx="250">
                  <c:v>-4.4323185263979839E-2</c:v>
                </c:pt>
                <c:pt idx="251">
                  <c:v>4.883392450185095E-2</c:v>
                </c:pt>
                <c:pt idx="252">
                  <c:v>-0.10555639514382145</c:v>
                </c:pt>
                <c:pt idx="253">
                  <c:v>1.345678734220929E-2</c:v>
                </c:pt>
                <c:pt idx="254">
                  <c:v>2.1662134426010959E-2</c:v>
                </c:pt>
                <c:pt idx="255">
                  <c:v>-2.2700487734121411E-2</c:v>
                </c:pt>
                <c:pt idx="256">
                  <c:v>-3.3951132632047978E-3</c:v>
                </c:pt>
                <c:pt idx="257">
                  <c:v>-0.13152388398674567</c:v>
                </c:pt>
                <c:pt idx="258">
                  <c:v>5.0955140956169889E-2</c:v>
                </c:pt>
                <c:pt idx="259">
                  <c:v>8.3826228839486774E-3</c:v>
                </c:pt>
                <c:pt idx="260">
                  <c:v>-0.12805566230456519</c:v>
                </c:pt>
                <c:pt idx="261">
                  <c:v>6.4078237430932342E-2</c:v>
                </c:pt>
                <c:pt idx="262">
                  <c:v>7.8008031007887155E-2</c:v>
                </c:pt>
                <c:pt idx="263">
                  <c:v>-9.5501369043045015E-2</c:v>
                </c:pt>
                <c:pt idx="264">
                  <c:v>8.4367733857985974E-2</c:v>
                </c:pt>
                <c:pt idx="265">
                  <c:v>-5.0431325976875068E-3</c:v>
                </c:pt>
                <c:pt idx="266">
                  <c:v>2.6528793750129606E-2</c:v>
                </c:pt>
                <c:pt idx="267">
                  <c:v>9.9601915328278827E-3</c:v>
                </c:pt>
                <c:pt idx="268">
                  <c:v>3.0217506885785773E-2</c:v>
                </c:pt>
                <c:pt idx="269">
                  <c:v>-4.9823058297633373E-3</c:v>
                </c:pt>
                <c:pt idx="270">
                  <c:v>2.6635156847146069E-2</c:v>
                </c:pt>
                <c:pt idx="271">
                  <c:v>-2.898677343138668E-2</c:v>
                </c:pt>
                <c:pt idx="272">
                  <c:v>-3.5676982478376626E-2</c:v>
                </c:pt>
                <c:pt idx="273">
                  <c:v>-7.5892368168044053E-2</c:v>
                </c:pt>
                <c:pt idx="274">
                  <c:v>0.11295045193350287</c:v>
                </c:pt>
                <c:pt idx="275">
                  <c:v>4.7327919094068228E-2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A4-4F7D-966D-835A2C371E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5883136"/>
        <c:axId val="1881073456"/>
      </c:lineChart>
      <c:catAx>
        <c:axId val="1875883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81073456"/>
        <c:crossesAt val="-0.30000000000000004"/>
        <c:auto val="1"/>
        <c:lblAlgn val="ctr"/>
        <c:lblOffset val="100"/>
        <c:noMultiLvlLbl val="0"/>
      </c:catAx>
      <c:valAx>
        <c:axId val="1881073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dash"/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75883136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도수분포표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'3-1 stat'!$B$6:$B$15</c:f>
              <c:numCache>
                <c:formatCode>0.00</c:formatCode>
                <c:ptCount val="10"/>
                <c:pt idx="0">
                  <c:v>-0.1857590477197332</c:v>
                </c:pt>
                <c:pt idx="1">
                  <c:v>-0.14017409035680406</c:v>
                </c:pt>
                <c:pt idx="2">
                  <c:v>-9.4589132993874919E-2</c:v>
                </c:pt>
                <c:pt idx="3">
                  <c:v>-4.9004175630945779E-2</c:v>
                </c:pt>
                <c:pt idx="4">
                  <c:v>-3.4192182680166383E-3</c:v>
                </c:pt>
                <c:pt idx="5">
                  <c:v>4.2165739094912502E-2</c:v>
                </c:pt>
                <c:pt idx="6">
                  <c:v>8.7750696457841615E-2</c:v>
                </c:pt>
                <c:pt idx="7">
                  <c:v>0.13333565382077078</c:v>
                </c:pt>
                <c:pt idx="8">
                  <c:v>0.17892061118369995</c:v>
                </c:pt>
                <c:pt idx="9">
                  <c:v>0.22450556854662906</c:v>
                </c:pt>
              </c:numCache>
            </c:numRef>
          </c:cat>
          <c:val>
            <c:numRef>
              <c:f>'3-1 stat'!$D$6:$D$15</c:f>
              <c:numCache>
                <c:formatCode>General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12</c:v>
                </c:pt>
                <c:pt idx="3">
                  <c:v>28</c:v>
                </c:pt>
                <c:pt idx="4">
                  <c:v>71</c:v>
                </c:pt>
                <c:pt idx="5">
                  <c:v>98</c:v>
                </c:pt>
                <c:pt idx="6">
                  <c:v>43</c:v>
                </c:pt>
                <c:pt idx="7">
                  <c:v>17</c:v>
                </c:pt>
                <c:pt idx="8">
                  <c:v>3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4C-47C4-81F0-35F87B7B9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43867216"/>
        <c:axId val="1881075952"/>
      </c:barChart>
      <c:catAx>
        <c:axId val="2043867216"/>
        <c:scaling>
          <c:orientation val="minMax"/>
        </c:scaling>
        <c:delete val="0"/>
        <c:axPos val="b"/>
        <c:numFmt formatCode="#,##0.00_ 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81075952"/>
        <c:crosses val="autoZero"/>
        <c:auto val="1"/>
        <c:lblAlgn val="ctr"/>
        <c:lblOffset val="100"/>
        <c:noMultiLvlLbl val="0"/>
      </c:catAx>
      <c:valAx>
        <c:axId val="188107595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dash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43867216"/>
        <c:crosses val="autoZero"/>
        <c:crossBetween val="between"/>
        <c:majorUnit val="20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62315149295555"/>
          <c:y val="9.3633301268804384E-2"/>
          <c:w val="0.76601710198487338"/>
          <c:h val="0.67041443708463944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'3-2 분산투자'!$E$7:$E$17</c:f>
              <c:numCache>
                <c:formatCode>0.0000</c:formatCode>
                <c:ptCount val="11"/>
                <c:pt idx="0">
                  <c:v>0.16</c:v>
                </c:pt>
                <c:pt idx="1">
                  <c:v>0.14945233353815526</c:v>
                </c:pt>
                <c:pt idx="2">
                  <c:v>0.15094369811290567</c:v>
                </c:pt>
                <c:pt idx="3">
                  <c:v>0.16414627622946554</c:v>
                </c:pt>
                <c:pt idx="4">
                  <c:v>0.18659046063504964</c:v>
                </c:pt>
                <c:pt idx="5">
                  <c:v>0.2154065922853802</c:v>
                </c:pt>
                <c:pt idx="6">
                  <c:v>0.24838679514016038</c:v>
                </c:pt>
                <c:pt idx="7">
                  <c:v>0.28408449447303524</c:v>
                </c:pt>
                <c:pt idx="8">
                  <c:v>0.32159601987586856</c:v>
                </c:pt>
                <c:pt idx="9">
                  <c:v>0.36035538014576668</c:v>
                </c:pt>
                <c:pt idx="10">
                  <c:v>0.4</c:v>
                </c:pt>
              </c:numCache>
            </c:numRef>
          </c:xVal>
          <c:yVal>
            <c:numRef>
              <c:f>'3-2 분산투자'!$D$7:$D$17</c:f>
              <c:numCache>
                <c:formatCode>0.0000</c:formatCode>
                <c:ptCount val="11"/>
                <c:pt idx="0">
                  <c:v>0.05</c:v>
                </c:pt>
                <c:pt idx="1">
                  <c:v>6.0000000000000005E-2</c:v>
                </c:pt>
                <c:pt idx="2">
                  <c:v>7.0000000000000007E-2</c:v>
                </c:pt>
                <c:pt idx="3">
                  <c:v>7.9999999999999988E-2</c:v>
                </c:pt>
                <c:pt idx="4">
                  <c:v>0.09</c:v>
                </c:pt>
                <c:pt idx="5">
                  <c:v>0.1</c:v>
                </c:pt>
                <c:pt idx="6">
                  <c:v>0.11</c:v>
                </c:pt>
                <c:pt idx="7">
                  <c:v>0.12</c:v>
                </c:pt>
                <c:pt idx="8">
                  <c:v>0.13</c:v>
                </c:pt>
                <c:pt idx="9">
                  <c:v>0.14000000000000001</c:v>
                </c:pt>
                <c:pt idx="10">
                  <c:v>0.15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DFD-408D-BA56-BF6AC44AD5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3883456"/>
        <c:axId val="1"/>
      </c:scatterChart>
      <c:valAx>
        <c:axId val="17538834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포트폴리오 표준편차</a:t>
                </a:r>
              </a:p>
            </c:rich>
          </c:tx>
          <c:layout>
            <c:manualLayout>
              <c:xMode val="edge"/>
              <c:yMode val="edge"/>
              <c:x val="0.4189723320158103"/>
              <c:y val="0.86891700335210909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포트폴리오 기대수익률</a:t>
                </a:r>
              </a:p>
            </c:rich>
          </c:tx>
          <c:layout>
            <c:manualLayout>
              <c:xMode val="edge"/>
              <c:yMode val="edge"/>
              <c:x val="3.1620553359683792E-2"/>
              <c:y val="0.1685401122612482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175388345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맑은 고딕 (본문)"/>
          <a:ea typeface="+mn-ea"/>
          <a:cs typeface="돋움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'3-3 수익률'!$S$5:$S$14</c:f>
              <c:numCache>
                <c:formatCode>0.00</c:formatCode>
                <c:ptCount val="10"/>
                <c:pt idx="0">
                  <c:v>-0.18831468835848869</c:v>
                </c:pt>
                <c:pt idx="1">
                  <c:v>-0.14184719237888327</c:v>
                </c:pt>
                <c:pt idx="2">
                  <c:v>-9.5379696399277875E-2</c:v>
                </c:pt>
                <c:pt idx="3">
                  <c:v>-4.8912200419672452E-2</c:v>
                </c:pt>
                <c:pt idx="4">
                  <c:v>-2.4447044400670581E-3</c:v>
                </c:pt>
                <c:pt idx="5">
                  <c:v>4.4022791539538364E-2</c:v>
                </c:pt>
                <c:pt idx="6">
                  <c:v>9.0490287519143731E-2</c:v>
                </c:pt>
                <c:pt idx="7">
                  <c:v>0.13695778349874921</c:v>
                </c:pt>
                <c:pt idx="8">
                  <c:v>0.18342527947835457</c:v>
                </c:pt>
                <c:pt idx="9">
                  <c:v>0.22989277545796</c:v>
                </c:pt>
              </c:numCache>
            </c:numRef>
          </c:cat>
          <c:val>
            <c:numRef>
              <c:f>'3-3 수익률'!$U$5:$U$14</c:f>
              <c:numCache>
                <c:formatCode>General</c:formatCode>
                <c:ptCount val="10"/>
                <c:pt idx="0">
                  <c:v>2</c:v>
                </c:pt>
                <c:pt idx="1">
                  <c:v>0</c:v>
                </c:pt>
                <c:pt idx="2">
                  <c:v>12</c:v>
                </c:pt>
                <c:pt idx="3">
                  <c:v>27</c:v>
                </c:pt>
                <c:pt idx="4">
                  <c:v>67</c:v>
                </c:pt>
                <c:pt idx="5">
                  <c:v>102</c:v>
                </c:pt>
                <c:pt idx="6">
                  <c:v>45</c:v>
                </c:pt>
                <c:pt idx="7">
                  <c:v>17</c:v>
                </c:pt>
                <c:pt idx="8">
                  <c:v>1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71-4C8E-9994-9A68931B1E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47315664"/>
        <c:axId val="1961100576"/>
      </c:barChart>
      <c:catAx>
        <c:axId val="1647315664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61100576"/>
        <c:crosses val="autoZero"/>
        <c:auto val="1"/>
        <c:lblAlgn val="ctr"/>
        <c:lblOffset val="100"/>
        <c:noMultiLvlLbl val="0"/>
      </c:catAx>
      <c:valAx>
        <c:axId val="1961100576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dash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47315664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'3-3 수익률'!$S$18:$S$27</c:f>
              <c:numCache>
                <c:formatCode>0.00</c:formatCode>
                <c:ptCount val="10"/>
                <c:pt idx="0">
                  <c:v>-0.24868055750301465</c:v>
                </c:pt>
                <c:pt idx="1">
                  <c:v>-0.18061545939781445</c:v>
                </c:pt>
                <c:pt idx="2">
                  <c:v>-0.11255036129261428</c:v>
                </c:pt>
                <c:pt idx="3">
                  <c:v>-4.4485263187414026E-2</c:v>
                </c:pt>
                <c:pt idx="4">
                  <c:v>2.3579834917786147E-2</c:v>
                </c:pt>
                <c:pt idx="5">
                  <c:v>9.1644933022986319E-2</c:v>
                </c:pt>
                <c:pt idx="6">
                  <c:v>0.15971003112818655</c:v>
                </c:pt>
                <c:pt idx="7">
                  <c:v>0.22777512923338683</c:v>
                </c:pt>
                <c:pt idx="8">
                  <c:v>0.29584022733858695</c:v>
                </c:pt>
                <c:pt idx="9">
                  <c:v>0.36390532544378718</c:v>
                </c:pt>
              </c:numCache>
            </c:numRef>
          </c:cat>
          <c:val>
            <c:numRef>
              <c:f>'3-3 수익률'!$U$18:$U$27</c:f>
              <c:numCache>
                <c:formatCode>General</c:formatCode>
                <c:ptCount val="10"/>
                <c:pt idx="0">
                  <c:v>2</c:v>
                </c:pt>
                <c:pt idx="1">
                  <c:v>1</c:v>
                </c:pt>
                <c:pt idx="2">
                  <c:v>10</c:v>
                </c:pt>
                <c:pt idx="3">
                  <c:v>35</c:v>
                </c:pt>
                <c:pt idx="4">
                  <c:v>119</c:v>
                </c:pt>
                <c:pt idx="5">
                  <c:v>82</c:v>
                </c:pt>
                <c:pt idx="6">
                  <c:v>17</c:v>
                </c:pt>
                <c:pt idx="7">
                  <c:v>9</c:v>
                </c:pt>
                <c:pt idx="8">
                  <c:v>0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71-4C8E-9994-9A68931B1E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47315664"/>
        <c:axId val="1961100576"/>
      </c:barChart>
      <c:catAx>
        <c:axId val="1647315664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61100576"/>
        <c:crosses val="autoZero"/>
        <c:auto val="1"/>
        <c:lblAlgn val="ctr"/>
        <c:lblOffset val="100"/>
        <c:noMultiLvlLbl val="0"/>
      </c:catAx>
      <c:valAx>
        <c:axId val="1961100576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dash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47315664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'3-3 수익률'!$S$31:$S$40</c:f>
              <c:numCache>
                <c:formatCode>0.00</c:formatCode>
                <c:ptCount val="10"/>
                <c:pt idx="0">
                  <c:v>-0.41332816249290483</c:v>
                </c:pt>
                <c:pt idx="1">
                  <c:v>-0.12796576436585838</c:v>
                </c:pt>
                <c:pt idx="2">
                  <c:v>0.15739663376118795</c:v>
                </c:pt>
                <c:pt idx="3">
                  <c:v>0.44275903188823451</c:v>
                </c:pt>
                <c:pt idx="4">
                  <c:v>0.72812143001528085</c:v>
                </c:pt>
                <c:pt idx="5">
                  <c:v>1.0134838281423271</c:v>
                </c:pt>
                <c:pt idx="6">
                  <c:v>1.2988462262693736</c:v>
                </c:pt>
                <c:pt idx="7">
                  <c:v>1.5842086243964202</c:v>
                </c:pt>
                <c:pt idx="8">
                  <c:v>1.8695710225234663</c:v>
                </c:pt>
                <c:pt idx="9">
                  <c:v>2.1549334206505129</c:v>
                </c:pt>
              </c:numCache>
            </c:numRef>
          </c:cat>
          <c:val>
            <c:numRef>
              <c:f>'3-3 수익률'!$U$31:$U$40</c:f>
              <c:numCache>
                <c:formatCode>General</c:formatCode>
                <c:ptCount val="10"/>
                <c:pt idx="0">
                  <c:v>1</c:v>
                </c:pt>
                <c:pt idx="1">
                  <c:v>11</c:v>
                </c:pt>
                <c:pt idx="2">
                  <c:v>256</c:v>
                </c:pt>
                <c:pt idx="3">
                  <c:v>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71-4C8E-9994-9A68931B1E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47315664"/>
        <c:axId val="1961100576"/>
      </c:barChart>
      <c:catAx>
        <c:axId val="1647315664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61100576"/>
        <c:crosses val="autoZero"/>
        <c:auto val="1"/>
        <c:lblAlgn val="ctr"/>
        <c:lblOffset val="100"/>
        <c:noMultiLvlLbl val="0"/>
      </c:catAx>
      <c:valAx>
        <c:axId val="196110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dash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47315664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'3-3 수익률'!$S$44:$S$53</c:f>
              <c:numCache>
                <c:formatCode>0.00</c:formatCode>
                <c:ptCount val="10"/>
                <c:pt idx="0">
                  <c:v>7.1874221651849646E-2</c:v>
                </c:pt>
                <c:pt idx="1">
                  <c:v>1.0459350979475226</c:v>
                </c:pt>
                <c:pt idx="2">
                  <c:v>2.0199959742431952</c:v>
                </c:pt>
                <c:pt idx="3">
                  <c:v>2.9940568505388683</c:v>
                </c:pt>
                <c:pt idx="4">
                  <c:v>3.9681177268345413</c:v>
                </c:pt>
                <c:pt idx="5">
                  <c:v>4.9421786031302144</c:v>
                </c:pt>
                <c:pt idx="6">
                  <c:v>5.9162394794258866</c:v>
                </c:pt>
                <c:pt idx="7">
                  <c:v>6.8903003557215605</c:v>
                </c:pt>
                <c:pt idx="8">
                  <c:v>7.8643612320172336</c:v>
                </c:pt>
                <c:pt idx="9">
                  <c:v>8.8384221083129049</c:v>
                </c:pt>
              </c:numCache>
            </c:numRef>
          </c:cat>
          <c:val>
            <c:numRef>
              <c:f>'3-3 수익률'!$U$44:$U$53</c:f>
              <c:numCache>
                <c:formatCode>General</c:formatCode>
                <c:ptCount val="10"/>
                <c:pt idx="0">
                  <c:v>236</c:v>
                </c:pt>
                <c:pt idx="1">
                  <c:v>39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71-4C8E-9994-9A68931B1E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47315664"/>
        <c:axId val="1961100576"/>
      </c:barChart>
      <c:catAx>
        <c:axId val="1647315664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61100576"/>
        <c:crosses val="autoZero"/>
        <c:auto val="1"/>
        <c:lblAlgn val="ctr"/>
        <c:lblOffset val="100"/>
        <c:noMultiLvlLbl val="0"/>
      </c:catAx>
      <c:valAx>
        <c:axId val="1961100576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dash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47315664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CAL_</a:t>
            </a:r>
            <a:r>
              <a:rPr lang="ko-KR" altLang="en-US"/>
              <a:t>실제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13612662867269468"/>
          <c:y val="0.15552446747307891"/>
          <c:w val="0.80066804948614156"/>
          <c:h val="0.7357549071668936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40000"/>
                  <a:lumOff val="60000"/>
                </a:schemeClr>
              </a:solidFill>
              <a:ln w="3175">
                <a:noFill/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chemeClr val="accent1">
                    <a:lumMod val="50000"/>
                  </a:schemeClr>
                </a:solidFill>
                <a:ln w="317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EAC8-4252-850D-511E2C6D11F2}"/>
              </c:ext>
            </c:extLst>
          </c:dPt>
          <c:dPt>
            <c:idx val="10"/>
            <c:marker>
              <c:symbol val="circle"/>
              <c:size val="5"/>
              <c:spPr>
                <a:solidFill>
                  <a:schemeClr val="accent1">
                    <a:lumMod val="50000"/>
                  </a:schemeClr>
                </a:solidFill>
                <a:ln w="317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EAC8-4252-850D-511E2C6D11F2}"/>
              </c:ext>
            </c:extLst>
          </c:dPt>
          <c:dLbls>
            <c:dLbl>
              <c:idx val="0"/>
              <c:layout>
                <c:manualLayout>
                  <c:x val="-3.1520882584712374E-3"/>
                  <c:y val="-0.23432918933540184"/>
                </c:manualLayout>
              </c:layout>
              <c:tx>
                <c:rich>
                  <a:bodyPr/>
                  <a:lstStyle/>
                  <a:p>
                    <a:r>
                      <a:rPr lang="ko-KR" altLang="en-US"/>
                      <a:t>국고채</a:t>
                    </a:r>
                    <a:r>
                      <a:rPr lang="en-US" altLang="ko-KR"/>
                      <a:t>(3</a:t>
                    </a:r>
                    <a:r>
                      <a:rPr lang="ko-KR" altLang="en-US"/>
                      <a:t>년</a:t>
                    </a:r>
                    <a:r>
                      <a:rPr lang="en-US" altLang="ko-KR"/>
                      <a:t>)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EAC8-4252-850D-511E2C6D11F2}"/>
                </c:ext>
              </c:extLst>
            </c:dLbl>
            <c:dLbl>
              <c:idx val="10"/>
              <c:layout>
                <c:manualLayout>
                  <c:x val="-0.12608353033884961"/>
                  <c:y val="-6.5612173013912548E-2"/>
                </c:manualLayout>
              </c:layout>
              <c:tx>
                <c:rich>
                  <a:bodyPr/>
                  <a:lstStyle/>
                  <a:p>
                    <a:r>
                      <a:rPr lang="ko-KR" altLang="en-US"/>
                      <a:t>주식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EAC8-4252-850D-511E2C6D11F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'4-1 CAL'!$G$10:$G$25</c:f>
              <c:numCache>
                <c:formatCode>0.0000</c:formatCode>
                <c:ptCount val="16"/>
                <c:pt idx="0">
                  <c:v>1.239266593760007E-3</c:v>
                </c:pt>
                <c:pt idx="1">
                  <c:v>5.4155766116807114E-2</c:v>
                </c:pt>
                <c:pt idx="2">
                  <c:v>0.10823778252218821</c:v>
                </c:pt>
                <c:pt idx="3">
                  <c:v>0.1623245128332656</c:v>
                </c:pt>
                <c:pt idx="4">
                  <c:v>0.21641242271969463</c:v>
                </c:pt>
                <c:pt idx="5">
                  <c:v>0.27050080459745934</c:v>
                </c:pt>
                <c:pt idx="6">
                  <c:v>0.32458942251396955</c:v>
                </c:pt>
                <c:pt idx="7">
                  <c:v>0.3786781753252304</c:v>
                </c:pt>
                <c:pt idx="8">
                  <c:v>0.43276701245237481</c:v>
                </c:pt>
                <c:pt idx="9">
                  <c:v>0.48685590579336324</c:v>
                </c:pt>
                <c:pt idx="10">
                  <c:v>0.54094483848578567</c:v>
                </c:pt>
                <c:pt idx="11">
                  <c:v>0.59503379979843474</c:v>
                </c:pt>
                <c:pt idx="12">
                  <c:v>0.64912278257686251</c:v>
                </c:pt>
                <c:pt idx="13">
                  <c:v>0.70321178186781563</c:v>
                </c:pt>
                <c:pt idx="14">
                  <c:v>0.75730079413315154</c:v>
                </c:pt>
                <c:pt idx="15">
                  <c:v>0.81138981677816857</c:v>
                </c:pt>
              </c:numCache>
            </c:numRef>
          </c:xVal>
          <c:yVal>
            <c:numRef>
              <c:f>'4-1 CAL'!$F$10:$F$25</c:f>
              <c:numCache>
                <c:formatCode>0.0000</c:formatCode>
                <c:ptCount val="16"/>
                <c:pt idx="0">
                  <c:v>2.8054800724637658E-3</c:v>
                </c:pt>
                <c:pt idx="1">
                  <c:v>5.9183384918882979E-3</c:v>
                </c:pt>
                <c:pt idx="2">
                  <c:v>9.031196911312829E-3</c:v>
                </c:pt>
                <c:pt idx="3">
                  <c:v>1.214405533073736E-2</c:v>
                </c:pt>
                <c:pt idx="4">
                  <c:v>1.5256913750161891E-2</c:v>
                </c:pt>
                <c:pt idx="5">
                  <c:v>1.8369772169586421E-2</c:v>
                </c:pt>
                <c:pt idx="6">
                  <c:v>2.1482630589010954E-2</c:v>
                </c:pt>
                <c:pt idx="7">
                  <c:v>2.4595489008435483E-2</c:v>
                </c:pt>
                <c:pt idx="8">
                  <c:v>2.7708347427860019E-2</c:v>
                </c:pt>
                <c:pt idx="9">
                  <c:v>3.0821205847284545E-2</c:v>
                </c:pt>
                <c:pt idx="10">
                  <c:v>3.3934064266709078E-2</c:v>
                </c:pt>
                <c:pt idx="11">
                  <c:v>3.7046922686133611E-2</c:v>
                </c:pt>
                <c:pt idx="12">
                  <c:v>4.0159781105558144E-2</c:v>
                </c:pt>
                <c:pt idx="13">
                  <c:v>4.3272639524982677E-2</c:v>
                </c:pt>
                <c:pt idx="14">
                  <c:v>4.6385497944407203E-2</c:v>
                </c:pt>
                <c:pt idx="15">
                  <c:v>4.9498356363831729E-2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AC8-4252-850D-511E2C6D1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093215"/>
        <c:axId val="1528770079"/>
      </c:scatterChart>
      <c:valAx>
        <c:axId val="14870932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28770079"/>
        <c:crosses val="autoZero"/>
        <c:crossBetween val="midCat"/>
      </c:valAx>
      <c:valAx>
        <c:axId val="152877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870932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CAL_</a:t>
            </a:r>
            <a:r>
              <a:rPr lang="ko-KR" altLang="en-US"/>
              <a:t>예시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13612662867269468"/>
          <c:y val="0.15552446747307891"/>
          <c:w val="0.80066804948614156"/>
          <c:h val="0.7357549071668936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40000"/>
                  <a:lumOff val="60000"/>
                </a:schemeClr>
              </a:solidFill>
              <a:ln w="3175">
                <a:noFill/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chemeClr val="accent1">
                    <a:lumMod val="50000"/>
                  </a:schemeClr>
                </a:solidFill>
                <a:ln w="317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EAC8-4252-850D-511E2C6D11F2}"/>
              </c:ext>
            </c:extLst>
          </c:dPt>
          <c:dPt>
            <c:idx val="10"/>
            <c:marker>
              <c:symbol val="circle"/>
              <c:size val="5"/>
              <c:spPr>
                <a:solidFill>
                  <a:schemeClr val="accent1">
                    <a:lumMod val="50000"/>
                  </a:schemeClr>
                </a:solidFill>
                <a:ln w="317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EAC8-4252-850D-511E2C6D11F2}"/>
              </c:ext>
            </c:extLst>
          </c:dPt>
          <c:dLbls>
            <c:dLbl>
              <c:idx val="0"/>
              <c:layout>
                <c:manualLayout>
                  <c:x val="2.3053926769792073E-2"/>
                  <c:y val="-0.16403043253478128"/>
                </c:manualLayout>
              </c:layout>
              <c:tx>
                <c:rich>
                  <a:bodyPr/>
                  <a:lstStyle/>
                  <a:p>
                    <a:r>
                      <a:rPr lang="ko-KR" altLang="en-US"/>
                      <a:t>무위험자산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EAC8-4252-850D-511E2C6D11F2}"/>
                </c:ext>
              </c:extLst>
            </c:dLbl>
            <c:dLbl>
              <c:idx val="10"/>
              <c:layout>
                <c:manualLayout>
                  <c:x val="-0.17021276595744686"/>
                  <c:y val="-7.4985340587328544E-2"/>
                </c:manualLayout>
              </c:layout>
              <c:tx>
                <c:rich>
                  <a:bodyPr/>
                  <a:lstStyle/>
                  <a:p>
                    <a:r>
                      <a:rPr lang="ko-KR" altLang="en-US"/>
                      <a:t>위험자산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EAC8-4252-850D-511E2C6D11F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'4-1 CAL'!$K$10:$K$25</c:f>
              <c:numCache>
                <c:formatCode>0.0000</c:formatCode>
                <c:ptCount val="16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</c:numCache>
            </c:numRef>
          </c:xVal>
          <c:yVal>
            <c:numRef>
              <c:f>'4-1 CAL'!$J$10:$J$25</c:f>
              <c:numCache>
                <c:formatCode>0.0000</c:formatCode>
                <c:ptCount val="16"/>
                <c:pt idx="0">
                  <c:v>0.05</c:v>
                </c:pt>
                <c:pt idx="1">
                  <c:v>6.0000000000000005E-2</c:v>
                </c:pt>
                <c:pt idx="2">
                  <c:v>7.0000000000000007E-2</c:v>
                </c:pt>
                <c:pt idx="3">
                  <c:v>7.9999999999999988E-2</c:v>
                </c:pt>
                <c:pt idx="4">
                  <c:v>0.09</c:v>
                </c:pt>
                <c:pt idx="5">
                  <c:v>0.1</c:v>
                </c:pt>
                <c:pt idx="6">
                  <c:v>0.11</c:v>
                </c:pt>
                <c:pt idx="7">
                  <c:v>0.12</c:v>
                </c:pt>
                <c:pt idx="8">
                  <c:v>0.13</c:v>
                </c:pt>
                <c:pt idx="9">
                  <c:v>0.14000000000000001</c:v>
                </c:pt>
                <c:pt idx="10">
                  <c:v>0.15</c:v>
                </c:pt>
                <c:pt idx="11">
                  <c:v>0.16</c:v>
                </c:pt>
                <c:pt idx="12">
                  <c:v>0.16999999999999998</c:v>
                </c:pt>
                <c:pt idx="13">
                  <c:v>0.18</c:v>
                </c:pt>
                <c:pt idx="14">
                  <c:v>0.19</c:v>
                </c:pt>
                <c:pt idx="15">
                  <c:v>0.19999999999999998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AC8-4252-850D-511E2C6D1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093215"/>
        <c:axId val="1528770079"/>
      </c:scatterChart>
      <c:valAx>
        <c:axId val="14870932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28770079"/>
        <c:crosses val="autoZero"/>
        <c:crossBetween val="midCat"/>
      </c:valAx>
      <c:valAx>
        <c:axId val="152877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870932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포트폴리오 </a:t>
            </a:r>
            <a:r>
              <a:rPr lang="ko-KR" altLang="en-US"/>
              <a:t>구성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'4-2 포트폴리오 구성'!$F$9:$F$19</c:f>
              <c:numCache>
                <c:formatCode>0.0000</c:formatCode>
                <c:ptCount val="11"/>
                <c:pt idx="0">
                  <c:v>0.32</c:v>
                </c:pt>
                <c:pt idx="1">
                  <c:v>0.30580876377239419</c:v>
                </c:pt>
                <c:pt idx="2">
                  <c:v>0.29805368643920516</c:v>
                </c:pt>
                <c:pt idx="3">
                  <c:v>0.29723896110705272</c:v>
                </c:pt>
                <c:pt idx="4">
                  <c:v>0.3034205002962061</c:v>
                </c:pt>
                <c:pt idx="5">
                  <c:v>0.31618823507524757</c:v>
                </c:pt>
                <c:pt idx="6">
                  <c:v>0.33478948609536713</c:v>
                </c:pt>
                <c:pt idx="7">
                  <c:v>0.35831689884793322</c:v>
                </c:pt>
                <c:pt idx="8">
                  <c:v>0.38587044457952463</c:v>
                </c:pt>
                <c:pt idx="9">
                  <c:v>0.41665213307986321</c:v>
                </c:pt>
                <c:pt idx="10">
                  <c:v>0.45</c:v>
                </c:pt>
              </c:numCache>
            </c:numRef>
          </c:xVal>
          <c:yVal>
            <c:numRef>
              <c:f>'4-2 포트폴리오 구성'!$E$9:$E$19</c:f>
              <c:numCache>
                <c:formatCode>0.0000</c:formatCode>
                <c:ptCount val="11"/>
                <c:pt idx="0">
                  <c:v>0.15</c:v>
                </c:pt>
                <c:pt idx="1">
                  <c:v>0.15500000000000003</c:v>
                </c:pt>
                <c:pt idx="2">
                  <c:v>0.16</c:v>
                </c:pt>
                <c:pt idx="3">
                  <c:v>0.16499999999999998</c:v>
                </c:pt>
                <c:pt idx="4">
                  <c:v>0.17</c:v>
                </c:pt>
                <c:pt idx="5">
                  <c:v>0.17499999999999999</c:v>
                </c:pt>
                <c:pt idx="6">
                  <c:v>0.18</c:v>
                </c:pt>
                <c:pt idx="7">
                  <c:v>0.185</c:v>
                </c:pt>
                <c:pt idx="8">
                  <c:v>0.19000000000000003</c:v>
                </c:pt>
                <c:pt idx="9">
                  <c:v>0.19500000000000001</c:v>
                </c:pt>
                <c:pt idx="10">
                  <c:v>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0C-438A-884C-7EADE20C81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8352720"/>
        <c:axId val="1921494112"/>
      </c:scatterChart>
      <c:valAx>
        <c:axId val="1998352720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/>
                  <a:t>표준편차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21494112"/>
        <c:crosses val="autoZero"/>
        <c:crossBetween val="midCat"/>
      </c:valAx>
      <c:valAx>
        <c:axId val="1921494112"/>
        <c:scaling>
          <c:orientation val="minMax"/>
          <c:max val="0.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/>
                  <a:t>기대수익률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98352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산포도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1">
                    <a:lumMod val="50000"/>
                  </a:schemeClr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1.690135608048994E-2"/>
                  <c:y val="-4.250984251968503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'5-1 시장모형'!$B$2:$B$244</c:f>
              <c:numCache>
                <c:formatCode>0.00000000</c:formatCode>
                <c:ptCount val="243"/>
                <c:pt idx="0">
                  <c:v>-4.7978894652119554E-3</c:v>
                </c:pt>
                <c:pt idx="1">
                  <c:v>-3.1406273167182181E-3</c:v>
                </c:pt>
                <c:pt idx="2">
                  <c:v>1.6811798006021682E-2</c:v>
                </c:pt>
                <c:pt idx="3">
                  <c:v>3.8431191765884772E-3</c:v>
                </c:pt>
                <c:pt idx="4">
                  <c:v>1.1180535623606169E-2</c:v>
                </c:pt>
                <c:pt idx="5">
                  <c:v>2.6297287737394055E-2</c:v>
                </c:pt>
                <c:pt idx="6">
                  <c:v>4.7655721452303466E-4</c:v>
                </c:pt>
                <c:pt idx="7">
                  <c:v>3.4959235490004529E-3</c:v>
                </c:pt>
                <c:pt idx="8">
                  <c:v>2.3606396189070318E-3</c:v>
                </c:pt>
                <c:pt idx="9">
                  <c:v>8.8748890110355739E-3</c:v>
                </c:pt>
                <c:pt idx="10">
                  <c:v>5.7709474495932596E-3</c:v>
                </c:pt>
                <c:pt idx="11">
                  <c:v>-8.5296642304135469E-3</c:v>
                </c:pt>
                <c:pt idx="12">
                  <c:v>-4.6524529396188563E-3</c:v>
                </c:pt>
                <c:pt idx="13">
                  <c:v>5.0753276584245294E-3</c:v>
                </c:pt>
                <c:pt idx="14">
                  <c:v>6.2680121327205662E-3</c:v>
                </c:pt>
                <c:pt idx="15">
                  <c:v>1.390663226539079E-2</c:v>
                </c:pt>
                <c:pt idx="16">
                  <c:v>1.6503539119728863E-2</c:v>
                </c:pt>
                <c:pt idx="17">
                  <c:v>6.2260749802523201E-3</c:v>
                </c:pt>
                <c:pt idx="18">
                  <c:v>-1.3506332477194299E-2</c:v>
                </c:pt>
                <c:pt idx="19">
                  <c:v>-1.0361277632454131E-2</c:v>
                </c:pt>
                <c:pt idx="20">
                  <c:v>1.019347815329814E-2</c:v>
                </c:pt>
                <c:pt idx="21">
                  <c:v>7.7883908890521375E-3</c:v>
                </c:pt>
                <c:pt idx="22">
                  <c:v>4.6660834062408792E-3</c:v>
                </c:pt>
                <c:pt idx="23">
                  <c:v>-1.7017416545718447E-2</c:v>
                </c:pt>
                <c:pt idx="24">
                  <c:v>5.5450969776760558E-3</c:v>
                </c:pt>
                <c:pt idx="25">
                  <c:v>1.3023563145722714E-2</c:v>
                </c:pt>
                <c:pt idx="26">
                  <c:v>-8.5358586590644824E-4</c:v>
                </c:pt>
                <c:pt idx="27">
                  <c:v>-4.7511202811180101E-3</c:v>
                </c:pt>
                <c:pt idx="28">
                  <c:v>-6.8954906001871463E-3</c:v>
                </c:pt>
                <c:pt idx="29">
                  <c:v>5.2758184857504197E-3</c:v>
                </c:pt>
                <c:pt idx="30">
                  <c:v>-1.5306370759721527E-2</c:v>
                </c:pt>
                <c:pt idx="31">
                  <c:v>1.9597182750525115E-2</c:v>
                </c:pt>
                <c:pt idx="32">
                  <c:v>-9.8041591933685519E-3</c:v>
                </c:pt>
                <c:pt idx="33">
                  <c:v>1.5951305681683146E-3</c:v>
                </c:pt>
                <c:pt idx="34">
                  <c:v>1.5640783342566334E-3</c:v>
                </c:pt>
                <c:pt idx="35">
                  <c:v>-1.6787584995282639E-2</c:v>
                </c:pt>
                <c:pt idx="36">
                  <c:v>8.8555971013534913E-3</c:v>
                </c:pt>
                <c:pt idx="37">
                  <c:v>-6.3466292756724912E-3</c:v>
                </c:pt>
                <c:pt idx="38">
                  <c:v>-8.6523821902039742E-3</c:v>
                </c:pt>
                <c:pt idx="39">
                  <c:v>4.2494922252189413E-3</c:v>
                </c:pt>
                <c:pt idx="40">
                  <c:v>6.2167146735188682E-3</c:v>
                </c:pt>
                <c:pt idx="41">
                  <c:v>1.7381633955970324E-3</c:v>
                </c:pt>
                <c:pt idx="42">
                  <c:v>1.2561316080540333E-2</c:v>
                </c:pt>
                <c:pt idx="43">
                  <c:v>2.9643225507793253E-4</c:v>
                </c:pt>
                <c:pt idx="44">
                  <c:v>-1.2763107150831208E-2</c:v>
                </c:pt>
                <c:pt idx="45">
                  <c:v>-5.2715766619651676E-3</c:v>
                </c:pt>
                <c:pt idx="46">
                  <c:v>-1.0127775320471747E-2</c:v>
                </c:pt>
                <c:pt idx="47">
                  <c:v>6.6859044763403182E-3</c:v>
                </c:pt>
                <c:pt idx="48">
                  <c:v>-2.5566249066622464E-2</c:v>
                </c:pt>
                <c:pt idx="49">
                  <c:v>1.3090844072082658E-2</c:v>
                </c:pt>
                <c:pt idx="50">
                  <c:v>-7.6059368329044826E-4</c:v>
                </c:pt>
                <c:pt idx="51">
                  <c:v>7.4771543077745591E-3</c:v>
                </c:pt>
                <c:pt idx="52">
                  <c:v>-6.8831944032826603E-3</c:v>
                </c:pt>
                <c:pt idx="53">
                  <c:v>3.8458305312710538E-3</c:v>
                </c:pt>
                <c:pt idx="54">
                  <c:v>1.1978981305085155E-2</c:v>
                </c:pt>
                <c:pt idx="55">
                  <c:v>3.111346484840453E-3</c:v>
                </c:pt>
                <c:pt idx="56">
                  <c:v>-3.9266151917112047E-3</c:v>
                </c:pt>
                <c:pt idx="57">
                  <c:v>-2.3768509623348778E-3</c:v>
                </c:pt>
                <c:pt idx="58">
                  <c:v>1.0675654361162641E-2</c:v>
                </c:pt>
                <c:pt idx="59">
                  <c:v>3.6879758844160504E-3</c:v>
                </c:pt>
                <c:pt idx="60">
                  <c:v>3.7808111558478926E-3</c:v>
                </c:pt>
                <c:pt idx="61">
                  <c:v>9.6610086582205289E-3</c:v>
                </c:pt>
                <c:pt idx="62">
                  <c:v>-1.824891192881302E-3</c:v>
                </c:pt>
                <c:pt idx="63">
                  <c:v>3.3045616703204542E-3</c:v>
                </c:pt>
                <c:pt idx="64">
                  <c:v>5.9262006603479998E-3</c:v>
                </c:pt>
                <c:pt idx="65">
                  <c:v>-1.4419628007261921E-2</c:v>
                </c:pt>
                <c:pt idx="66">
                  <c:v>1.2678765304587142E-2</c:v>
                </c:pt>
                <c:pt idx="67">
                  <c:v>8.7013784878795363E-3</c:v>
                </c:pt>
                <c:pt idx="68">
                  <c:v>1.424317696888642E-2</c:v>
                </c:pt>
                <c:pt idx="69">
                  <c:v>1.0911117565328334E-3</c:v>
                </c:pt>
                <c:pt idx="70">
                  <c:v>4.320484270614427E-3</c:v>
                </c:pt>
                <c:pt idx="71">
                  <c:v>3.8373554648157555E-3</c:v>
                </c:pt>
                <c:pt idx="72">
                  <c:v>1.7188478275241487E-3</c:v>
                </c:pt>
                <c:pt idx="73">
                  <c:v>-1.8711833876182433E-3</c:v>
                </c:pt>
                <c:pt idx="74">
                  <c:v>1.5518709963477674E-3</c:v>
                </c:pt>
                <c:pt idx="75">
                  <c:v>-4.6483992730322167E-3</c:v>
                </c:pt>
                <c:pt idx="76">
                  <c:v>-7.2997257238277078E-3</c:v>
                </c:pt>
                <c:pt idx="77">
                  <c:v>-8.2141172771577151E-3</c:v>
                </c:pt>
                <c:pt idx="78">
                  <c:v>-1.3663562512383601E-2</c:v>
                </c:pt>
                <c:pt idx="79">
                  <c:v>-1.6833934640943242E-3</c:v>
                </c:pt>
                <c:pt idx="80">
                  <c:v>4.4188133594652429E-3</c:v>
                </c:pt>
                <c:pt idx="81">
                  <c:v>2.2918411257268202E-3</c:v>
                </c:pt>
                <c:pt idx="82">
                  <c:v>9.1384072947354907E-3</c:v>
                </c:pt>
                <c:pt idx="83">
                  <c:v>-9.1071506383719556E-3</c:v>
                </c:pt>
                <c:pt idx="84">
                  <c:v>-1.8389701767011928E-4</c:v>
                </c:pt>
                <c:pt idx="85">
                  <c:v>4.9061552856126019E-3</c:v>
                </c:pt>
                <c:pt idx="86">
                  <c:v>-1.2533771551124222E-3</c:v>
                </c:pt>
                <c:pt idx="87">
                  <c:v>-5.3982773320158592E-3</c:v>
                </c:pt>
                <c:pt idx="88">
                  <c:v>-2.2070810851950195E-3</c:v>
                </c:pt>
                <c:pt idx="89">
                  <c:v>-6.2545162585306811E-3</c:v>
                </c:pt>
                <c:pt idx="90">
                  <c:v>1.5876093753786574E-3</c:v>
                </c:pt>
                <c:pt idx="91">
                  <c:v>3.5896505132388437E-4</c:v>
                </c:pt>
                <c:pt idx="92">
                  <c:v>5.8139534883721233E-3</c:v>
                </c:pt>
                <c:pt idx="93">
                  <c:v>8.3137581874885708E-3</c:v>
                </c:pt>
                <c:pt idx="94">
                  <c:v>8.901168800190774E-3</c:v>
                </c:pt>
                <c:pt idx="95">
                  <c:v>7.6011017460073382E-3</c:v>
                </c:pt>
                <c:pt idx="96">
                  <c:v>4.094514055094191E-3</c:v>
                </c:pt>
                <c:pt idx="97">
                  <c:v>-3.8947634905012087E-5</c:v>
                </c:pt>
                <c:pt idx="98">
                  <c:v>-4.9699117801708954E-3</c:v>
                </c:pt>
                <c:pt idx="99">
                  <c:v>1.6127201343411103E-3</c:v>
                </c:pt>
                <c:pt idx="100">
                  <c:v>1.0438445996381145E-2</c:v>
                </c:pt>
                <c:pt idx="101">
                  <c:v>-3.2488628979857404E-3</c:v>
                </c:pt>
                <c:pt idx="102">
                  <c:v>-3.0848388899235653E-3</c:v>
                </c:pt>
                <c:pt idx="103">
                  <c:v>1.2529338268779432E-2</c:v>
                </c:pt>
                <c:pt idx="104">
                  <c:v>5.4010210043975949E-3</c:v>
                </c:pt>
                <c:pt idx="105">
                  <c:v>7.2646353726587635E-5</c:v>
                </c:pt>
                <c:pt idx="106">
                  <c:v>-1.8160269154304941E-3</c:v>
                </c:pt>
                <c:pt idx="107">
                  <c:v>1.1609246030986058E-2</c:v>
                </c:pt>
                <c:pt idx="108">
                  <c:v>-4.4715200896575545E-3</c:v>
                </c:pt>
                <c:pt idx="109">
                  <c:v>3.2707703424800462E-3</c:v>
                </c:pt>
                <c:pt idx="110">
                  <c:v>-7.1532819045091421E-3</c:v>
                </c:pt>
                <c:pt idx="111">
                  <c:v>-4.0243138812101819E-3</c:v>
                </c:pt>
                <c:pt idx="112">
                  <c:v>6.6128945693759728E-3</c:v>
                </c:pt>
                <c:pt idx="113">
                  <c:v>-6.2038472231214087E-3</c:v>
                </c:pt>
                <c:pt idx="114">
                  <c:v>-1.7589576547231828E-3</c:v>
                </c:pt>
                <c:pt idx="115">
                  <c:v>-8.5530786092416801E-3</c:v>
                </c:pt>
                <c:pt idx="116">
                  <c:v>4.2863282777632523E-3</c:v>
                </c:pt>
                <c:pt idx="117">
                  <c:v>-9.0989705825654122E-3</c:v>
                </c:pt>
                <c:pt idx="118">
                  <c:v>4.7079880160304692E-3</c:v>
                </c:pt>
                <c:pt idx="119">
                  <c:v>-3.1368600418245894E-4</c:v>
                </c:pt>
                <c:pt idx="120">
                  <c:v>-6.6630768694384878E-3</c:v>
                </c:pt>
                <c:pt idx="121">
                  <c:v>-5.5261115595958464E-3</c:v>
                </c:pt>
                <c:pt idx="122">
                  <c:v>5.5921130030353559E-3</c:v>
                </c:pt>
                <c:pt idx="123">
                  <c:v>1.489306939959739E-2</c:v>
                </c:pt>
                <c:pt idx="124">
                  <c:v>-3.5197331765591364E-3</c:v>
                </c:pt>
                <c:pt idx="125">
                  <c:v>-5.5180445068271616E-3</c:v>
                </c:pt>
                <c:pt idx="126">
                  <c:v>-8.8057386583947402E-3</c:v>
                </c:pt>
                <c:pt idx="127">
                  <c:v>-1.1571457072554338E-2</c:v>
                </c:pt>
                <c:pt idx="128">
                  <c:v>-2.378587174626379E-3</c:v>
                </c:pt>
                <c:pt idx="129">
                  <c:v>1.6578728131074687E-2</c:v>
                </c:pt>
                <c:pt idx="130">
                  <c:v>4.772701552006064E-3</c:v>
                </c:pt>
                <c:pt idx="131">
                  <c:v>6.4123477504350844E-3</c:v>
                </c:pt>
                <c:pt idx="132">
                  <c:v>1.430594736862423E-2</c:v>
                </c:pt>
                <c:pt idx="133">
                  <c:v>-3.5384088574364346E-3</c:v>
                </c:pt>
                <c:pt idx="134">
                  <c:v>-4.345169912180263E-3</c:v>
                </c:pt>
                <c:pt idx="135">
                  <c:v>2.3776470497997824E-4</c:v>
                </c:pt>
                <c:pt idx="136">
                  <c:v>-3.0710364076924532E-3</c:v>
                </c:pt>
                <c:pt idx="137">
                  <c:v>3.6650603985032863E-3</c:v>
                </c:pt>
                <c:pt idx="138">
                  <c:v>7.1922322359144059E-3</c:v>
                </c:pt>
                <c:pt idx="139">
                  <c:v>3.0168953749813909E-3</c:v>
                </c:pt>
                <c:pt idx="140">
                  <c:v>-1.6726974807127704E-2</c:v>
                </c:pt>
                <c:pt idx="141">
                  <c:v>4.4168248237126855E-3</c:v>
                </c:pt>
                <c:pt idx="142">
                  <c:v>1.7320772252968604E-3</c:v>
                </c:pt>
                <c:pt idx="143">
                  <c:v>9.3010060115322358E-3</c:v>
                </c:pt>
                <c:pt idx="144">
                  <c:v>1.3101216297320589E-2</c:v>
                </c:pt>
                <c:pt idx="145">
                  <c:v>-1.8972130465267262E-2</c:v>
                </c:pt>
                <c:pt idx="146">
                  <c:v>-4.2347131822646272E-3</c:v>
                </c:pt>
                <c:pt idx="147">
                  <c:v>-9.9409301486521814E-4</c:v>
                </c:pt>
                <c:pt idx="148">
                  <c:v>-8.4870139849393521E-3</c:v>
                </c:pt>
                <c:pt idx="149">
                  <c:v>-2.6078094787868526E-3</c:v>
                </c:pt>
                <c:pt idx="150">
                  <c:v>1.2097996099425742E-2</c:v>
                </c:pt>
                <c:pt idx="151">
                  <c:v>-1.3665397371330095E-3</c:v>
                </c:pt>
                <c:pt idx="152">
                  <c:v>-3.9591629637601008E-3</c:v>
                </c:pt>
                <c:pt idx="153">
                  <c:v>-7.8687588277518757E-3</c:v>
                </c:pt>
                <c:pt idx="154">
                  <c:v>-1.7593266092801277E-2</c:v>
                </c:pt>
                <c:pt idx="155">
                  <c:v>-2.2924882406043473E-3</c:v>
                </c:pt>
                <c:pt idx="156">
                  <c:v>-6.0916324384387597E-3</c:v>
                </c:pt>
                <c:pt idx="157">
                  <c:v>1.7169095627870561E-3</c:v>
                </c:pt>
                <c:pt idx="158">
                  <c:v>2.766262755101881E-3</c:v>
                </c:pt>
                <c:pt idx="159">
                  <c:v>-4.0703729320199153E-3</c:v>
                </c:pt>
                <c:pt idx="160">
                  <c:v>1.2843743763719752E-2</c:v>
                </c:pt>
                <c:pt idx="161">
                  <c:v>-7.3058856908672348E-3</c:v>
                </c:pt>
                <c:pt idx="162">
                  <c:v>9.6342402565954988E-3</c:v>
                </c:pt>
                <c:pt idx="163">
                  <c:v>3.4402632686039609E-3</c:v>
                </c:pt>
                <c:pt idx="164">
                  <c:v>3.549934173406035E-3</c:v>
                </c:pt>
                <c:pt idx="165">
                  <c:v>-1.9326727106612545E-3</c:v>
                </c:pt>
                <c:pt idx="166">
                  <c:v>2.910490675867594E-3</c:v>
                </c:pt>
                <c:pt idx="167">
                  <c:v>8.1288445260970024E-3</c:v>
                </c:pt>
                <c:pt idx="168">
                  <c:v>-9.1698748331444366E-4</c:v>
                </c:pt>
                <c:pt idx="169">
                  <c:v>-7.2961606084779879E-3</c:v>
                </c:pt>
                <c:pt idx="170">
                  <c:v>-5.8829495892078016E-3</c:v>
                </c:pt>
                <c:pt idx="171">
                  <c:v>-2.276062882124987E-4</c:v>
                </c:pt>
                <c:pt idx="172">
                  <c:v>3.611128556176707E-3</c:v>
                </c:pt>
                <c:pt idx="173">
                  <c:v>-7.9393635993868228E-3</c:v>
                </c:pt>
                <c:pt idx="174">
                  <c:v>-7.4115541398264955E-4</c:v>
                </c:pt>
                <c:pt idx="175">
                  <c:v>-1.0210357977611176E-2</c:v>
                </c:pt>
                <c:pt idx="176">
                  <c:v>-6.0239560029827569E-3</c:v>
                </c:pt>
                <c:pt idx="177">
                  <c:v>2.0709515827139834E-4</c:v>
                </c:pt>
                <c:pt idx="178">
                  <c:v>-1.7490057583973366E-2</c:v>
                </c:pt>
                <c:pt idx="179">
                  <c:v>-2.7197143504692667E-3</c:v>
                </c:pt>
                <c:pt idx="180">
                  <c:v>-4.9319612619760098E-3</c:v>
                </c:pt>
                <c:pt idx="181">
                  <c:v>-1.3138282527166241E-2</c:v>
                </c:pt>
                <c:pt idx="182">
                  <c:v>8.5262914286425085E-4</c:v>
                </c:pt>
                <c:pt idx="183">
                  <c:v>-2.4088565436275685E-2</c:v>
                </c:pt>
                <c:pt idx="184">
                  <c:v>-8.687736158857315E-4</c:v>
                </c:pt>
                <c:pt idx="185">
                  <c:v>2.1342985521717881E-3</c:v>
                </c:pt>
                <c:pt idx="186">
                  <c:v>-2.5532126888443665E-3</c:v>
                </c:pt>
                <c:pt idx="187">
                  <c:v>1.977041347218407E-2</c:v>
                </c:pt>
                <c:pt idx="188">
                  <c:v>1.2138379154966464E-2</c:v>
                </c:pt>
                <c:pt idx="189">
                  <c:v>-9.5450476244243829E-3</c:v>
                </c:pt>
                <c:pt idx="190">
                  <c:v>-8.1061824399976824E-3</c:v>
                </c:pt>
                <c:pt idx="191">
                  <c:v>9.8225133812761857E-3</c:v>
                </c:pt>
                <c:pt idx="192">
                  <c:v>9.8773661982701861E-4</c:v>
                </c:pt>
                <c:pt idx="193">
                  <c:v>-1.9004304393730093E-2</c:v>
                </c:pt>
                <c:pt idx="194">
                  <c:v>-1.6888815299279814E-2</c:v>
                </c:pt>
                <c:pt idx="195">
                  <c:v>-7.5705263157894815E-3</c:v>
                </c:pt>
                <c:pt idx="196">
                  <c:v>1.1238767596371791E-2</c:v>
                </c:pt>
                <c:pt idx="197">
                  <c:v>-8.5336331712475063E-3</c:v>
                </c:pt>
                <c:pt idx="198">
                  <c:v>-2.7120351053881078E-2</c:v>
                </c:pt>
                <c:pt idx="199">
                  <c:v>1.6223880856690582E-3</c:v>
                </c:pt>
                <c:pt idx="200">
                  <c:v>3.3611109904856402E-3</c:v>
                </c:pt>
                <c:pt idx="201">
                  <c:v>-1.4091882885027546E-2</c:v>
                </c:pt>
                <c:pt idx="202">
                  <c:v>1.0346840855315504E-2</c:v>
                </c:pt>
                <c:pt idx="203">
                  <c:v>1.8057317645423079E-2</c:v>
                </c:pt>
                <c:pt idx="204">
                  <c:v>1.0763426542388037E-2</c:v>
                </c:pt>
                <c:pt idx="205">
                  <c:v>5.6592381161488528E-2</c:v>
                </c:pt>
                <c:pt idx="206">
                  <c:v>-2.3341871905433593E-2</c:v>
                </c:pt>
                <c:pt idx="207">
                  <c:v>-9.1409024697622493E-3</c:v>
                </c:pt>
                <c:pt idx="208">
                  <c:v>2.2546890098364058E-3</c:v>
                </c:pt>
                <c:pt idx="209">
                  <c:v>-7.1773489130972498E-3</c:v>
                </c:pt>
                <c:pt idx="210">
                  <c:v>-2.4484782085437929E-3</c:v>
                </c:pt>
                <c:pt idx="211">
                  <c:v>1.2268279695144182E-2</c:v>
                </c:pt>
                <c:pt idx="212">
                  <c:v>2.1954176512894306E-2</c:v>
                </c:pt>
                <c:pt idx="213">
                  <c:v>6.0723779190635001E-4</c:v>
                </c:pt>
                <c:pt idx="214">
                  <c:v>-7.3668303740082822E-3</c:v>
                </c:pt>
                <c:pt idx="215">
                  <c:v>8.6442496507884731E-3</c:v>
                </c:pt>
                <c:pt idx="216">
                  <c:v>7.7151573538857803E-3</c:v>
                </c:pt>
                <c:pt idx="217">
                  <c:v>5.0987484165985987E-4</c:v>
                </c:pt>
                <c:pt idx="218">
                  <c:v>1.297925707688107E-3</c:v>
                </c:pt>
                <c:pt idx="219">
                  <c:v>-7.2883862964022994E-3</c:v>
                </c:pt>
                <c:pt idx="220">
                  <c:v>-3.8852372998812582E-4</c:v>
                </c:pt>
                <c:pt idx="221">
                  <c:v>1.0458155357701115E-2</c:v>
                </c:pt>
                <c:pt idx="222">
                  <c:v>-7.73269462597659E-4</c:v>
                </c:pt>
                <c:pt idx="223">
                  <c:v>6.1433203297074062E-3</c:v>
                </c:pt>
                <c:pt idx="224">
                  <c:v>-1.1943406868642146E-2</c:v>
                </c:pt>
                <c:pt idx="225">
                  <c:v>3.9680480317442245E-3</c:v>
                </c:pt>
                <c:pt idx="226">
                  <c:v>-8.2188512694087827E-3</c:v>
                </c:pt>
                <c:pt idx="227">
                  <c:v>4.4100902865753204E-4</c:v>
                </c:pt>
                <c:pt idx="228">
                  <c:v>-1.326451281969057E-3</c:v>
                </c:pt>
                <c:pt idx="229">
                  <c:v>1.03448137492124E-2</c:v>
                </c:pt>
                <c:pt idx="230">
                  <c:v>2.9827034970312839E-3</c:v>
                </c:pt>
                <c:pt idx="231">
                  <c:v>3.9241929863464428E-3</c:v>
                </c:pt>
                <c:pt idx="232">
                  <c:v>-9.7070528977190301E-3</c:v>
                </c:pt>
                <c:pt idx="233">
                  <c:v>1.3351071033114791E-2</c:v>
                </c:pt>
                <c:pt idx="234">
                  <c:v>7.6173855623423306E-3</c:v>
                </c:pt>
                <c:pt idx="235">
                  <c:v>1.2872723868371256E-3</c:v>
                </c:pt>
                <c:pt idx="236">
                  <c:v>6.5839196528055853E-4</c:v>
                </c:pt>
                <c:pt idx="237">
                  <c:v>1.7811605769792294E-2</c:v>
                </c:pt>
                <c:pt idx="238">
                  <c:v>-5.4622652335233899E-3</c:v>
                </c:pt>
                <c:pt idx="239">
                  <c:v>-1.961523372896222E-4</c:v>
                </c:pt>
                <c:pt idx="240">
                  <c:v>1.1848386811360322E-3</c:v>
                </c:pt>
                <c:pt idx="241">
                  <c:v>4.1919779911549085E-3</c:v>
                </c:pt>
                <c:pt idx="242">
                  <c:v>1.598622536828016E-2</c:v>
                </c:pt>
              </c:numCache>
            </c:numRef>
          </c:xVal>
          <c:yVal>
            <c:numRef>
              <c:f>'5-1 시장모형'!$C$2:$C$244</c:f>
              <c:numCache>
                <c:formatCode>0.00000000</c:formatCode>
                <c:ptCount val="243"/>
                <c:pt idx="0">
                  <c:v>3.616636528028933E-3</c:v>
                </c:pt>
                <c:pt idx="1">
                  <c:v>-1.8018018018018018E-3</c:v>
                </c:pt>
                <c:pt idx="2">
                  <c:v>4.3321299638989168E-2</c:v>
                </c:pt>
                <c:pt idx="3">
                  <c:v>6.920415224913495E-3</c:v>
                </c:pt>
                <c:pt idx="4">
                  <c:v>1.3745704467353952E-2</c:v>
                </c:pt>
                <c:pt idx="5">
                  <c:v>2.8813559322033899E-2</c:v>
                </c:pt>
                <c:pt idx="6">
                  <c:v>-4.9423393739703456E-3</c:v>
                </c:pt>
                <c:pt idx="7">
                  <c:v>1.6556291390728477E-3</c:v>
                </c:pt>
                <c:pt idx="8">
                  <c:v>0</c:v>
                </c:pt>
                <c:pt idx="9">
                  <c:v>4.9586776859504135E-3</c:v>
                </c:pt>
                <c:pt idx="10">
                  <c:v>4.9342105263157892E-3</c:v>
                </c:pt>
                <c:pt idx="11">
                  <c:v>-1.6366612111292963E-3</c:v>
                </c:pt>
                <c:pt idx="12">
                  <c:v>-9.8360655737704927E-3</c:v>
                </c:pt>
                <c:pt idx="13">
                  <c:v>1.8211920529801324E-2</c:v>
                </c:pt>
                <c:pt idx="14">
                  <c:v>4.8780487804878049E-3</c:v>
                </c:pt>
                <c:pt idx="15">
                  <c:v>2.5889967637540454E-2</c:v>
                </c:pt>
                <c:pt idx="16">
                  <c:v>7.8864353312302835E-3</c:v>
                </c:pt>
                <c:pt idx="17">
                  <c:v>1.0954616588419406E-2</c:v>
                </c:pt>
                <c:pt idx="18">
                  <c:v>-2.0123839009287926E-2</c:v>
                </c:pt>
                <c:pt idx="19">
                  <c:v>-3.6334913112164295E-2</c:v>
                </c:pt>
                <c:pt idx="20">
                  <c:v>1.3114754098360656E-2</c:v>
                </c:pt>
                <c:pt idx="21">
                  <c:v>2.7508090614886731E-2</c:v>
                </c:pt>
                <c:pt idx="22">
                  <c:v>4.7244094488188976E-3</c:v>
                </c:pt>
                <c:pt idx="23">
                  <c:v>-3.4482758620689655E-2</c:v>
                </c:pt>
                <c:pt idx="24">
                  <c:v>4.87012987012987E-3</c:v>
                </c:pt>
                <c:pt idx="25">
                  <c:v>1.9386106623586429E-2</c:v>
                </c:pt>
                <c:pt idx="26">
                  <c:v>-1.5847860538827259E-3</c:v>
                </c:pt>
                <c:pt idx="27">
                  <c:v>-3.1746031746031746E-3</c:v>
                </c:pt>
                <c:pt idx="28">
                  <c:v>1.5923566878980893E-3</c:v>
                </c:pt>
                <c:pt idx="29">
                  <c:v>4.7694753577106515E-3</c:v>
                </c:pt>
                <c:pt idx="30">
                  <c:v>-1.5822784810126583E-2</c:v>
                </c:pt>
                <c:pt idx="31">
                  <c:v>2.4115755627009645E-2</c:v>
                </c:pt>
                <c:pt idx="32">
                  <c:v>-1.726844583987441E-2</c:v>
                </c:pt>
                <c:pt idx="33">
                  <c:v>1.5974440894568689E-3</c:v>
                </c:pt>
                <c:pt idx="34">
                  <c:v>-9.5693779904306216E-3</c:v>
                </c:pt>
                <c:pt idx="35">
                  <c:v>-1.610305958132045E-2</c:v>
                </c:pt>
                <c:pt idx="36">
                  <c:v>1.4729950900163666E-2</c:v>
                </c:pt>
                <c:pt idx="37">
                  <c:v>-1.1290322580645161E-2</c:v>
                </c:pt>
                <c:pt idx="38">
                  <c:v>-1.3050570962479609E-2</c:v>
                </c:pt>
                <c:pt idx="39">
                  <c:v>1.652892561983471E-3</c:v>
                </c:pt>
                <c:pt idx="40">
                  <c:v>3.3003300330033004E-3</c:v>
                </c:pt>
                <c:pt idx="41">
                  <c:v>-4.9342105263157892E-3</c:v>
                </c:pt>
                <c:pt idx="42">
                  <c:v>1.6528925619834711E-2</c:v>
                </c:pt>
                <c:pt idx="43">
                  <c:v>-1.3008130081300813E-2</c:v>
                </c:pt>
                <c:pt idx="44">
                  <c:v>-6.5897858319604614E-3</c:v>
                </c:pt>
                <c:pt idx="45">
                  <c:v>-3.3167495854063019E-3</c:v>
                </c:pt>
                <c:pt idx="46">
                  <c:v>-9.9833610648918467E-3</c:v>
                </c:pt>
                <c:pt idx="47">
                  <c:v>8.4033613445378148E-3</c:v>
                </c:pt>
                <c:pt idx="48">
                  <c:v>-1.6666666666666666E-2</c:v>
                </c:pt>
                <c:pt idx="49">
                  <c:v>1.3559322033898305E-2</c:v>
                </c:pt>
                <c:pt idx="50">
                  <c:v>1.6722408026755853E-3</c:v>
                </c:pt>
                <c:pt idx="51">
                  <c:v>2.337228714524207E-2</c:v>
                </c:pt>
                <c:pt idx="52">
                  <c:v>-1.794453507340946E-2</c:v>
                </c:pt>
                <c:pt idx="53">
                  <c:v>1.6611295681063123E-3</c:v>
                </c:pt>
                <c:pt idx="54">
                  <c:v>1.3266998341625208E-2</c:v>
                </c:pt>
                <c:pt idx="55">
                  <c:v>1.9639934533551555E-2</c:v>
                </c:pt>
                <c:pt idx="56">
                  <c:v>1.1235955056179775E-2</c:v>
                </c:pt>
                <c:pt idx="57">
                  <c:v>-1.4285714285714285E-2</c:v>
                </c:pt>
                <c:pt idx="58">
                  <c:v>1.2882447665056361E-2</c:v>
                </c:pt>
                <c:pt idx="59">
                  <c:v>-3.1796502384737681E-3</c:v>
                </c:pt>
                <c:pt idx="60">
                  <c:v>7.9744816586921844E-3</c:v>
                </c:pt>
                <c:pt idx="61">
                  <c:v>1.2658227848101266E-2</c:v>
                </c:pt>
                <c:pt idx="62">
                  <c:v>-1.40625E-2</c:v>
                </c:pt>
                <c:pt idx="63">
                  <c:v>7.9239302694136295E-3</c:v>
                </c:pt>
                <c:pt idx="64">
                  <c:v>4.7169811320754715E-3</c:v>
                </c:pt>
                <c:pt idx="65">
                  <c:v>-2.5039123630672927E-2</c:v>
                </c:pt>
                <c:pt idx="66">
                  <c:v>4.3338683788121987E-2</c:v>
                </c:pt>
                <c:pt idx="67">
                  <c:v>1.0769230769230769E-2</c:v>
                </c:pt>
                <c:pt idx="68">
                  <c:v>3.0441400304414001E-3</c:v>
                </c:pt>
                <c:pt idx="69">
                  <c:v>1.5174506828528073E-3</c:v>
                </c:pt>
                <c:pt idx="70">
                  <c:v>1.5151515151515152E-3</c:v>
                </c:pt>
                <c:pt idx="71">
                  <c:v>-1.5128593040847202E-2</c:v>
                </c:pt>
                <c:pt idx="72">
                  <c:v>3.0721966205837174E-3</c:v>
                </c:pt>
                <c:pt idx="73">
                  <c:v>4.5941807044410417E-3</c:v>
                </c:pt>
                <c:pt idx="74">
                  <c:v>-1.5243902439024391E-3</c:v>
                </c:pt>
                <c:pt idx="75">
                  <c:v>-3.0534351145038168E-3</c:v>
                </c:pt>
                <c:pt idx="76">
                  <c:v>6.1255742725880554E-3</c:v>
                </c:pt>
                <c:pt idx="77">
                  <c:v>-7.6103500761035003E-3</c:v>
                </c:pt>
                <c:pt idx="78">
                  <c:v>-2.4539877300613498E-2</c:v>
                </c:pt>
                <c:pt idx="79">
                  <c:v>7.8616352201257862E-3</c:v>
                </c:pt>
                <c:pt idx="80">
                  <c:v>7.8003120124804995E-3</c:v>
                </c:pt>
                <c:pt idx="81">
                  <c:v>1.393188854489164E-2</c:v>
                </c:pt>
                <c:pt idx="82">
                  <c:v>3.0534351145038168E-3</c:v>
                </c:pt>
                <c:pt idx="83">
                  <c:v>-4.5662100456621002E-3</c:v>
                </c:pt>
                <c:pt idx="84">
                  <c:v>-4.5871559633027525E-3</c:v>
                </c:pt>
                <c:pt idx="85">
                  <c:v>1.2288786482334869E-2</c:v>
                </c:pt>
                <c:pt idx="86">
                  <c:v>-9.104704097116844E-3</c:v>
                </c:pt>
                <c:pt idx="87">
                  <c:v>-1.0719754977029096E-2</c:v>
                </c:pt>
                <c:pt idx="88">
                  <c:v>-6.1919504643962852E-3</c:v>
                </c:pt>
                <c:pt idx="89">
                  <c:v>-1.557632398753894E-3</c:v>
                </c:pt>
                <c:pt idx="90">
                  <c:v>6.2402496099843996E-3</c:v>
                </c:pt>
                <c:pt idx="91">
                  <c:v>1.3953488372093023E-2</c:v>
                </c:pt>
                <c:pt idx="92">
                  <c:v>-6.1162079510703364E-3</c:v>
                </c:pt>
                <c:pt idx="93">
                  <c:v>1.8461538461538463E-2</c:v>
                </c:pt>
                <c:pt idx="94">
                  <c:v>3.3232628398791542E-2</c:v>
                </c:pt>
                <c:pt idx="95">
                  <c:v>1.4619883040935672E-3</c:v>
                </c:pt>
                <c:pt idx="96">
                  <c:v>-1.4598540145985401E-3</c:v>
                </c:pt>
                <c:pt idx="97">
                  <c:v>1.4619883040935672E-3</c:v>
                </c:pt>
                <c:pt idx="98">
                  <c:v>4.3795620437956208E-3</c:v>
                </c:pt>
                <c:pt idx="99">
                  <c:v>2.1802325581395349E-2</c:v>
                </c:pt>
                <c:pt idx="100">
                  <c:v>2.8449502133712661E-2</c:v>
                </c:pt>
                <c:pt idx="101">
                  <c:v>-1.2448132780082987E-2</c:v>
                </c:pt>
                <c:pt idx="102">
                  <c:v>-7.0028011204481795E-3</c:v>
                </c:pt>
                <c:pt idx="103">
                  <c:v>1.8335684062059238E-2</c:v>
                </c:pt>
                <c:pt idx="104">
                  <c:v>-6.9252077562326868E-3</c:v>
                </c:pt>
                <c:pt idx="105">
                  <c:v>-9.7629009762900971E-3</c:v>
                </c:pt>
                <c:pt idx="106">
                  <c:v>-1.4084507042253522E-3</c:v>
                </c:pt>
                <c:pt idx="107">
                  <c:v>1.5514809590973202E-2</c:v>
                </c:pt>
                <c:pt idx="108">
                  <c:v>-1.3888888888888888E-2</c:v>
                </c:pt>
                <c:pt idx="109">
                  <c:v>1.4084507042253521E-2</c:v>
                </c:pt>
                <c:pt idx="110">
                  <c:v>-1.3888888888888889E-3</c:v>
                </c:pt>
                <c:pt idx="111">
                  <c:v>-5.5632823365785811E-3</c:v>
                </c:pt>
                <c:pt idx="112">
                  <c:v>4.1958041958041958E-3</c:v>
                </c:pt>
                <c:pt idx="113">
                  <c:v>-8.356545961002786E-3</c:v>
                </c:pt>
                <c:pt idx="114">
                  <c:v>2.8089887640449437E-3</c:v>
                </c:pt>
                <c:pt idx="115">
                  <c:v>-1.2605042016806723E-2</c:v>
                </c:pt>
                <c:pt idx="116">
                  <c:v>1.1347517730496455E-2</c:v>
                </c:pt>
                <c:pt idx="117">
                  <c:v>4.2075736325385693E-3</c:v>
                </c:pt>
                <c:pt idx="118">
                  <c:v>1.11731843575419E-2</c:v>
                </c:pt>
                <c:pt idx="119">
                  <c:v>2.7624309392265192E-3</c:v>
                </c:pt>
                <c:pt idx="120">
                  <c:v>1.3774104683195593E-3</c:v>
                </c:pt>
                <c:pt idx="121">
                  <c:v>-4.1265474552957355E-3</c:v>
                </c:pt>
                <c:pt idx="122">
                  <c:v>-2.7624309392265192E-3</c:v>
                </c:pt>
                <c:pt idx="123">
                  <c:v>1.1080332409972299E-2</c:v>
                </c:pt>
                <c:pt idx="124">
                  <c:v>0</c:v>
                </c:pt>
                <c:pt idx="125">
                  <c:v>-1.3698630136986301E-2</c:v>
                </c:pt>
                <c:pt idx="126">
                  <c:v>-5.5555555555555558E-3</c:v>
                </c:pt>
                <c:pt idx="127">
                  <c:v>-2.3743016759776536E-2</c:v>
                </c:pt>
                <c:pt idx="128">
                  <c:v>-5.7224606580829757E-3</c:v>
                </c:pt>
                <c:pt idx="129">
                  <c:v>2.8776978417266189E-2</c:v>
                </c:pt>
                <c:pt idx="130">
                  <c:v>5.5944055944055944E-3</c:v>
                </c:pt>
                <c:pt idx="131">
                  <c:v>0</c:v>
                </c:pt>
                <c:pt idx="132">
                  <c:v>2.0862308762169681E-2</c:v>
                </c:pt>
                <c:pt idx="133">
                  <c:v>-1.3623978201634877E-3</c:v>
                </c:pt>
                <c:pt idx="134">
                  <c:v>-1.7735334242837655E-2</c:v>
                </c:pt>
                <c:pt idx="135">
                  <c:v>-4.1666666666666666E-3</c:v>
                </c:pt>
                <c:pt idx="136">
                  <c:v>-9.7629009762900971E-3</c:v>
                </c:pt>
                <c:pt idx="137">
                  <c:v>-9.8591549295774655E-3</c:v>
                </c:pt>
                <c:pt idx="138">
                  <c:v>1.4224751066856331E-3</c:v>
                </c:pt>
                <c:pt idx="139">
                  <c:v>-5.681818181818182E-3</c:v>
                </c:pt>
                <c:pt idx="140">
                  <c:v>-2.8571428571428571E-3</c:v>
                </c:pt>
                <c:pt idx="141">
                  <c:v>2.7220630372492838E-2</c:v>
                </c:pt>
                <c:pt idx="142">
                  <c:v>-1.5341701534170154E-2</c:v>
                </c:pt>
                <c:pt idx="143">
                  <c:v>-1.1331444759206799E-2</c:v>
                </c:pt>
                <c:pt idx="144">
                  <c:v>1.8624641833810889E-2</c:v>
                </c:pt>
                <c:pt idx="145">
                  <c:v>-1.6877637130801686E-2</c:v>
                </c:pt>
                <c:pt idx="146">
                  <c:v>-1.5736766809728183E-2</c:v>
                </c:pt>
                <c:pt idx="147">
                  <c:v>-7.2674418604651162E-3</c:v>
                </c:pt>
                <c:pt idx="148">
                  <c:v>2.9282576866764276E-3</c:v>
                </c:pt>
                <c:pt idx="149">
                  <c:v>-1.3138686131386862E-2</c:v>
                </c:pt>
                <c:pt idx="150">
                  <c:v>1.9230769230769232E-2</c:v>
                </c:pt>
                <c:pt idx="151">
                  <c:v>-1.3062409288824383E-2</c:v>
                </c:pt>
                <c:pt idx="152">
                  <c:v>-7.3529411764705881E-3</c:v>
                </c:pt>
                <c:pt idx="153">
                  <c:v>-2.9629629629629628E-3</c:v>
                </c:pt>
                <c:pt idx="154">
                  <c:v>-4.4576523031203564E-3</c:v>
                </c:pt>
                <c:pt idx="155">
                  <c:v>-4.4776119402985077E-3</c:v>
                </c:pt>
                <c:pt idx="156">
                  <c:v>-5.9970014992503746E-3</c:v>
                </c:pt>
                <c:pt idx="157">
                  <c:v>4.5248868778280547E-3</c:v>
                </c:pt>
                <c:pt idx="158">
                  <c:v>0</c:v>
                </c:pt>
                <c:pt idx="159">
                  <c:v>7.5075075075075074E-3</c:v>
                </c:pt>
                <c:pt idx="160">
                  <c:v>1.6393442622950821E-2</c:v>
                </c:pt>
                <c:pt idx="161">
                  <c:v>-1.6129032258064516E-2</c:v>
                </c:pt>
                <c:pt idx="162">
                  <c:v>-4.4709388971684054E-3</c:v>
                </c:pt>
                <c:pt idx="163">
                  <c:v>0</c:v>
                </c:pt>
                <c:pt idx="164">
                  <c:v>4.4910179640718561E-3</c:v>
                </c:pt>
                <c:pt idx="165">
                  <c:v>-2.9806259314456036E-3</c:v>
                </c:pt>
                <c:pt idx="166">
                  <c:v>6.1285500747384154E-2</c:v>
                </c:pt>
                <c:pt idx="167">
                  <c:v>2.8169014084507044E-3</c:v>
                </c:pt>
                <c:pt idx="168">
                  <c:v>-7.0224719101123594E-3</c:v>
                </c:pt>
                <c:pt idx="169">
                  <c:v>-9.9009900990099011E-3</c:v>
                </c:pt>
                <c:pt idx="170">
                  <c:v>5.7142857142857143E-3</c:v>
                </c:pt>
                <c:pt idx="171">
                  <c:v>-1.4204545454545455E-3</c:v>
                </c:pt>
                <c:pt idx="172">
                  <c:v>7.1123755334281651E-3</c:v>
                </c:pt>
                <c:pt idx="173">
                  <c:v>-4.2372881355932203E-3</c:v>
                </c:pt>
                <c:pt idx="174">
                  <c:v>5.6737588652482273E-3</c:v>
                </c:pt>
                <c:pt idx="175">
                  <c:v>-2.5000000000000001E-2</c:v>
                </c:pt>
                <c:pt idx="176">
                  <c:v>-5.6980056980056983E-3</c:v>
                </c:pt>
                <c:pt idx="177">
                  <c:v>-2.8653295128939827E-3</c:v>
                </c:pt>
                <c:pt idx="178">
                  <c:v>-1.0057471264367816E-2</c:v>
                </c:pt>
                <c:pt idx="179">
                  <c:v>-1.4513788098693759E-3</c:v>
                </c:pt>
                <c:pt idx="180">
                  <c:v>8.7209302325581394E-3</c:v>
                </c:pt>
                <c:pt idx="181">
                  <c:v>-1.1527377521613832E-2</c:v>
                </c:pt>
                <c:pt idx="182">
                  <c:v>-2.9154518950437317E-3</c:v>
                </c:pt>
                <c:pt idx="183">
                  <c:v>-1.3157894736842105E-2</c:v>
                </c:pt>
                <c:pt idx="184">
                  <c:v>-1.1851851851851851E-2</c:v>
                </c:pt>
                <c:pt idx="185">
                  <c:v>-1.0494752623688156E-2</c:v>
                </c:pt>
                <c:pt idx="186">
                  <c:v>6.0606060606060606E-3</c:v>
                </c:pt>
                <c:pt idx="187">
                  <c:v>2.710843373493976E-2</c:v>
                </c:pt>
                <c:pt idx="188">
                  <c:v>1.0263929618768328E-2</c:v>
                </c:pt>
                <c:pt idx="189">
                  <c:v>-1.3062409288824383E-2</c:v>
                </c:pt>
                <c:pt idx="190">
                  <c:v>-1.0294117647058823E-2</c:v>
                </c:pt>
                <c:pt idx="191">
                  <c:v>3.1203566121842496E-2</c:v>
                </c:pt>
                <c:pt idx="192">
                  <c:v>1.5850144092219021E-2</c:v>
                </c:pt>
                <c:pt idx="193">
                  <c:v>-1.4184397163120567E-2</c:v>
                </c:pt>
                <c:pt idx="194">
                  <c:v>-1.0071942446043165E-2</c:v>
                </c:pt>
                <c:pt idx="195">
                  <c:v>-5.8139534883720929E-3</c:v>
                </c:pt>
                <c:pt idx="196">
                  <c:v>1.4619883040935672E-3</c:v>
                </c:pt>
                <c:pt idx="197">
                  <c:v>-7.2992700729927005E-3</c:v>
                </c:pt>
                <c:pt idx="198">
                  <c:v>-1.9117647058823531E-2</c:v>
                </c:pt>
                <c:pt idx="199">
                  <c:v>8.9955022488755615E-3</c:v>
                </c:pt>
                <c:pt idx="200">
                  <c:v>0</c:v>
                </c:pt>
                <c:pt idx="201">
                  <c:v>-5.9435364041604752E-3</c:v>
                </c:pt>
                <c:pt idx="202">
                  <c:v>2.5411061285500747E-2</c:v>
                </c:pt>
                <c:pt idx="203">
                  <c:v>1.6034985422740525E-2</c:v>
                </c:pt>
                <c:pt idx="204">
                  <c:v>-1.4347202295552368E-3</c:v>
                </c:pt>
                <c:pt idx="205">
                  <c:v>1.8678160919540231E-2</c:v>
                </c:pt>
                <c:pt idx="206">
                  <c:v>0</c:v>
                </c:pt>
                <c:pt idx="207">
                  <c:v>-1.4104372355430184E-2</c:v>
                </c:pt>
                <c:pt idx="208">
                  <c:v>5.7224606580829757E-3</c:v>
                </c:pt>
                <c:pt idx="209">
                  <c:v>2.8449502133712661E-3</c:v>
                </c:pt>
                <c:pt idx="210">
                  <c:v>-1.4184397163120568E-3</c:v>
                </c:pt>
                <c:pt idx="211">
                  <c:v>5.681818181818182E-3</c:v>
                </c:pt>
                <c:pt idx="212">
                  <c:v>1.977401129943503E-2</c:v>
                </c:pt>
                <c:pt idx="213">
                  <c:v>8.3102493074792248E-3</c:v>
                </c:pt>
                <c:pt idx="214">
                  <c:v>-4.120879120879121E-3</c:v>
                </c:pt>
                <c:pt idx="215">
                  <c:v>2.7586206896551722E-3</c:v>
                </c:pt>
                <c:pt idx="216">
                  <c:v>1.375515818431912E-3</c:v>
                </c:pt>
                <c:pt idx="217">
                  <c:v>0</c:v>
                </c:pt>
                <c:pt idx="218">
                  <c:v>-5.4945054945054949E-3</c:v>
                </c:pt>
                <c:pt idx="219">
                  <c:v>-9.6685082872928173E-3</c:v>
                </c:pt>
                <c:pt idx="220">
                  <c:v>-5.5788005578800556E-3</c:v>
                </c:pt>
                <c:pt idx="221">
                  <c:v>1.9635343618513323E-2</c:v>
                </c:pt>
                <c:pt idx="222">
                  <c:v>0</c:v>
                </c:pt>
                <c:pt idx="223">
                  <c:v>1.375515818431912E-3</c:v>
                </c:pt>
                <c:pt idx="224">
                  <c:v>-1.098901098901099E-2</c:v>
                </c:pt>
                <c:pt idx="225">
                  <c:v>8.3333333333333332E-3</c:v>
                </c:pt>
                <c:pt idx="226">
                  <c:v>-1.928374655647383E-2</c:v>
                </c:pt>
                <c:pt idx="227">
                  <c:v>7.0224719101123594E-3</c:v>
                </c:pt>
                <c:pt idx="228">
                  <c:v>-2.7894002789400278E-3</c:v>
                </c:pt>
                <c:pt idx="229">
                  <c:v>1.5384615384615385E-2</c:v>
                </c:pt>
                <c:pt idx="230">
                  <c:v>5.5096418732782371E-3</c:v>
                </c:pt>
                <c:pt idx="231">
                  <c:v>6.8493150684931503E-3</c:v>
                </c:pt>
                <c:pt idx="232">
                  <c:v>-9.5238095238095247E-3</c:v>
                </c:pt>
                <c:pt idx="233">
                  <c:v>4.120879120879121E-3</c:v>
                </c:pt>
                <c:pt idx="234">
                  <c:v>2.7359781121751026E-3</c:v>
                </c:pt>
                <c:pt idx="235">
                  <c:v>-5.4570259208731242E-3</c:v>
                </c:pt>
                <c:pt idx="236">
                  <c:v>6.8587105624142658E-3</c:v>
                </c:pt>
                <c:pt idx="237">
                  <c:v>1.9073569482288829E-2</c:v>
                </c:pt>
                <c:pt idx="238">
                  <c:v>2.6737967914438501E-3</c:v>
                </c:pt>
                <c:pt idx="239">
                  <c:v>1.2E-2</c:v>
                </c:pt>
                <c:pt idx="240">
                  <c:v>9.22266139657444E-3</c:v>
                </c:pt>
                <c:pt idx="241">
                  <c:v>1.8276762402088774E-2</c:v>
                </c:pt>
                <c:pt idx="242">
                  <c:v>6.41025641025641E-3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D46-4DE2-8872-C91BACBF76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358336"/>
        <c:axId val="577442368"/>
      </c:scatterChart>
      <c:valAx>
        <c:axId val="581358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코스피지수 수익률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.00_ 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77442368"/>
        <c:crosses val="autoZero"/>
        <c:crossBetween val="midCat"/>
      </c:valAx>
      <c:valAx>
        <c:axId val="57744236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삼성전자 주식수익률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.00_ 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81358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베타 사례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'5-2 베타 사례'!$B$1</c:f>
              <c:strCache>
                <c:ptCount val="1"/>
                <c:pt idx="0">
                  <c:v>시장</c:v>
                </c:pt>
              </c:strCache>
            </c:strRef>
          </c:tx>
          <c:spPr>
            <a:ln w="19050" cap="rnd">
              <a:solidFill>
                <a:schemeClr val="accent1">
                  <a:shade val="86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'5-2 베타 사례'!$B$2:$B$25</c:f>
              <c:numCache>
                <c:formatCode>0.00%</c:formatCode>
                <c:ptCount val="24"/>
                <c:pt idx="0">
                  <c:v>7.3200000000000001E-2</c:v>
                </c:pt>
                <c:pt idx="1">
                  <c:v>-2.47E-2</c:v>
                </c:pt>
                <c:pt idx="2">
                  <c:v>2.2599999999999999E-2</c:v>
                </c:pt>
                <c:pt idx="3">
                  <c:v>5.1799999999999999E-2</c:v>
                </c:pt>
                <c:pt idx="4">
                  <c:v>4.0399999999999998E-2</c:v>
                </c:pt>
                <c:pt idx="5">
                  <c:v>-5.8999999999999999E-3</c:v>
                </c:pt>
                <c:pt idx="6">
                  <c:v>9.01E-2</c:v>
                </c:pt>
                <c:pt idx="7">
                  <c:v>1.8599999999999998E-2</c:v>
                </c:pt>
                <c:pt idx="8">
                  <c:v>-4.0000000000000001E-3</c:v>
                </c:pt>
                <c:pt idx="9">
                  <c:v>-2.3400000000000001E-2</c:v>
                </c:pt>
                <c:pt idx="10">
                  <c:v>2.0400000000000001E-2</c:v>
                </c:pt>
                <c:pt idx="11">
                  <c:v>2.3800000000000002E-2</c:v>
                </c:pt>
                <c:pt idx="12">
                  <c:v>-6.7199999999999996E-2</c:v>
                </c:pt>
                <c:pt idx="13">
                  <c:v>1.2699999999999999E-2</c:v>
                </c:pt>
                <c:pt idx="14">
                  <c:v>2.6100000000000002E-2</c:v>
                </c:pt>
                <c:pt idx="15">
                  <c:v>-2.5000000000000001E-2</c:v>
                </c:pt>
                <c:pt idx="16">
                  <c:v>9.69E-2</c:v>
                </c:pt>
                <c:pt idx="17">
                  <c:v>-6.8999999999999999E-3</c:v>
                </c:pt>
                <c:pt idx="18">
                  <c:v>-3.2000000000000002E-3</c:v>
                </c:pt>
                <c:pt idx="19">
                  <c:v>-9.0300000000000005E-2</c:v>
                </c:pt>
                <c:pt idx="20">
                  <c:v>-4.8899999999999999E-2</c:v>
                </c:pt>
                <c:pt idx="21">
                  <c:v>-4.1000000000000003E-3</c:v>
                </c:pt>
                <c:pt idx="22">
                  <c:v>6.4399999999999999E-2</c:v>
                </c:pt>
                <c:pt idx="23">
                  <c:v>2.7199999999999998E-2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1A-4C3D-8133-7218E93A291E}"/>
            </c:ext>
          </c:extLst>
        </c:ser>
        <c:ser>
          <c:idx val="2"/>
          <c:order val="1"/>
          <c:tx>
            <c:strRef>
              <c:f>'5-2 베타 사례'!$C$1</c:f>
              <c:strCache>
                <c:ptCount val="1"/>
                <c:pt idx="0">
                  <c:v>A</c:v>
                </c:pt>
              </c:strCache>
            </c:strRef>
          </c:tx>
          <c:spPr>
            <a:ln w="19050" cap="rnd">
              <a:solidFill>
                <a:schemeClr val="accent1">
                  <a:tint val="86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'5-2 베타 사례'!$C$2:$C$25</c:f>
              <c:numCache>
                <c:formatCode>0.00%</c:formatCode>
                <c:ptCount val="24"/>
                <c:pt idx="0">
                  <c:v>-0.28260000000000002</c:v>
                </c:pt>
                <c:pt idx="1">
                  <c:v>-3.0300000000000001E-2</c:v>
                </c:pt>
                <c:pt idx="2">
                  <c:v>8.7499999999999994E-2</c:v>
                </c:pt>
                <c:pt idx="3">
                  <c:v>-1.47E-2</c:v>
                </c:pt>
                <c:pt idx="4">
                  <c:v>-1.49E-2</c:v>
                </c:pt>
                <c:pt idx="5">
                  <c:v>-9.0899999999999995E-2</c:v>
                </c:pt>
                <c:pt idx="6">
                  <c:v>0.1067</c:v>
                </c:pt>
                <c:pt idx="7">
                  <c:v>-9.3799999999999994E-2</c:v>
                </c:pt>
                <c:pt idx="8">
                  <c:v>0.10340000000000001</c:v>
                </c:pt>
                <c:pt idx="9">
                  <c:v>-0.14380000000000001</c:v>
                </c:pt>
                <c:pt idx="10">
                  <c:v>-0.14810000000000001</c:v>
                </c:pt>
                <c:pt idx="11">
                  <c:v>-4.3499999999999997E-2</c:v>
                </c:pt>
                <c:pt idx="12">
                  <c:v>-5.45E-2</c:v>
                </c:pt>
                <c:pt idx="13">
                  <c:v>0.05</c:v>
                </c:pt>
                <c:pt idx="14">
                  <c:v>9.5200000000000007E-2</c:v>
                </c:pt>
                <c:pt idx="15">
                  <c:v>-8.6999999999999994E-3</c:v>
                </c:pt>
                <c:pt idx="16">
                  <c:v>0</c:v>
                </c:pt>
                <c:pt idx="17">
                  <c:v>4.5499999999999999E-2</c:v>
                </c:pt>
                <c:pt idx="18">
                  <c:v>3.4799999999999998E-2</c:v>
                </c:pt>
                <c:pt idx="19">
                  <c:v>0</c:v>
                </c:pt>
                <c:pt idx="20">
                  <c:v>-0.13039999999999999</c:v>
                </c:pt>
                <c:pt idx="21">
                  <c:v>0</c:v>
                </c:pt>
                <c:pt idx="22">
                  <c:v>1.4999999999999999E-2</c:v>
                </c:pt>
                <c:pt idx="23">
                  <c:v>-2.5600000000000001E-2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1A-4C3D-8133-7218E93A291E}"/>
            </c:ext>
          </c:extLst>
        </c:ser>
        <c:ser>
          <c:idx val="3"/>
          <c:order val="2"/>
          <c:tx>
            <c:strRef>
              <c:f>'5-2 베타 사례'!$D$1</c:f>
              <c:strCache>
                <c:ptCount val="1"/>
                <c:pt idx="0">
                  <c:v>B</c:v>
                </c:pt>
              </c:strCache>
            </c:strRef>
          </c:tx>
          <c:spPr>
            <a:ln w="19050" cap="rnd">
              <a:solidFill>
                <a:schemeClr val="accent1">
                  <a:tint val="58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'5-2 베타 사례'!$D$2:$D$25</c:f>
              <c:numCache>
                <c:formatCode>0.00%</c:formatCode>
                <c:ptCount val="24"/>
                <c:pt idx="0">
                  <c:v>9.1600000000000001E-2</c:v>
                </c:pt>
                <c:pt idx="1">
                  <c:v>7.3000000000000001E-3</c:v>
                </c:pt>
                <c:pt idx="2">
                  <c:v>-2.8999999999999998E-3</c:v>
                </c:pt>
                <c:pt idx="3">
                  <c:v>2.2100000000000002E-2</c:v>
                </c:pt>
                <c:pt idx="4">
                  <c:v>-1.0800000000000001E-2</c:v>
                </c:pt>
                <c:pt idx="5">
                  <c:v>-6.4999999999999997E-3</c:v>
                </c:pt>
                <c:pt idx="6">
                  <c:v>2.2200000000000001E-2</c:v>
                </c:pt>
                <c:pt idx="7">
                  <c:v>0</c:v>
                </c:pt>
                <c:pt idx="8">
                  <c:v>1.8800000000000001E-2</c:v>
                </c:pt>
                <c:pt idx="9">
                  <c:v>-7.5499999999999998E-2</c:v>
                </c:pt>
                <c:pt idx="10">
                  <c:v>-0.12839999999999999</c:v>
                </c:pt>
                <c:pt idx="11">
                  <c:v>-1.7000000000000001E-2</c:v>
                </c:pt>
                <c:pt idx="12">
                  <c:v>-0.15210000000000001</c:v>
                </c:pt>
                <c:pt idx="13">
                  <c:v>7.6100000000000001E-2</c:v>
                </c:pt>
                <c:pt idx="14">
                  <c:v>1.11E-2</c:v>
                </c:pt>
                <c:pt idx="15">
                  <c:v>-5.1000000000000004E-3</c:v>
                </c:pt>
                <c:pt idx="16">
                  <c:v>0.12709999999999999</c:v>
                </c:pt>
                <c:pt idx="17">
                  <c:v>3.32E-2</c:v>
                </c:pt>
                <c:pt idx="18">
                  <c:v>3.1699999999999999E-2</c:v>
                </c:pt>
                <c:pt idx="19">
                  <c:v>-0.1472</c:v>
                </c:pt>
                <c:pt idx="20">
                  <c:v>-1.9099999999999999E-2</c:v>
                </c:pt>
                <c:pt idx="21">
                  <c:v>-0.125</c:v>
                </c:pt>
                <c:pt idx="22">
                  <c:v>0.1726</c:v>
                </c:pt>
                <c:pt idx="23">
                  <c:v>-8.5300000000000001E-2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C1A-4C3D-8133-7218E93A29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2755584"/>
        <c:axId val="799161728"/>
      </c:lineChart>
      <c:catAx>
        <c:axId val="8527555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9161728"/>
        <c:crossesAt val="-40"/>
        <c:auto val="1"/>
        <c:lblAlgn val="ctr"/>
        <c:lblOffset val="100"/>
        <c:noMultiLvlLbl val="0"/>
      </c:catAx>
      <c:valAx>
        <c:axId val="799161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52755584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시장과 </a:t>
            </a:r>
            <a:r>
              <a:rPr lang="en-US" altLang="ko-KR"/>
              <a:t>A</a:t>
            </a:r>
            <a:r>
              <a:rPr lang="ko-KR" altLang="en-US"/>
              <a:t>의 산포도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50000"/>
                  </a:schemeClr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0832786526684164"/>
                  <c:y val="0.2102817876932050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'5-2 베타 사례'!$B$2:$B$25</c:f>
              <c:numCache>
                <c:formatCode>0.00%</c:formatCode>
                <c:ptCount val="24"/>
                <c:pt idx="0">
                  <c:v>7.3200000000000001E-2</c:v>
                </c:pt>
                <c:pt idx="1">
                  <c:v>-2.47E-2</c:v>
                </c:pt>
                <c:pt idx="2">
                  <c:v>2.2599999999999999E-2</c:v>
                </c:pt>
                <c:pt idx="3">
                  <c:v>5.1799999999999999E-2</c:v>
                </c:pt>
                <c:pt idx="4">
                  <c:v>4.0399999999999998E-2</c:v>
                </c:pt>
                <c:pt idx="5">
                  <c:v>-5.8999999999999999E-3</c:v>
                </c:pt>
                <c:pt idx="6">
                  <c:v>9.01E-2</c:v>
                </c:pt>
                <c:pt idx="7">
                  <c:v>1.8599999999999998E-2</c:v>
                </c:pt>
                <c:pt idx="8">
                  <c:v>-4.0000000000000001E-3</c:v>
                </c:pt>
                <c:pt idx="9">
                  <c:v>-2.3400000000000001E-2</c:v>
                </c:pt>
                <c:pt idx="10">
                  <c:v>2.0400000000000001E-2</c:v>
                </c:pt>
                <c:pt idx="11">
                  <c:v>2.3800000000000002E-2</c:v>
                </c:pt>
                <c:pt idx="12">
                  <c:v>-6.7199999999999996E-2</c:v>
                </c:pt>
                <c:pt idx="13">
                  <c:v>1.2699999999999999E-2</c:v>
                </c:pt>
                <c:pt idx="14">
                  <c:v>2.6100000000000002E-2</c:v>
                </c:pt>
                <c:pt idx="15">
                  <c:v>-2.5000000000000001E-2</c:v>
                </c:pt>
                <c:pt idx="16">
                  <c:v>9.69E-2</c:v>
                </c:pt>
                <c:pt idx="17">
                  <c:v>-6.8999999999999999E-3</c:v>
                </c:pt>
                <c:pt idx="18">
                  <c:v>-3.2000000000000002E-3</c:v>
                </c:pt>
                <c:pt idx="19">
                  <c:v>-9.0300000000000005E-2</c:v>
                </c:pt>
                <c:pt idx="20">
                  <c:v>-4.8899999999999999E-2</c:v>
                </c:pt>
                <c:pt idx="21">
                  <c:v>-4.1000000000000003E-3</c:v>
                </c:pt>
                <c:pt idx="22">
                  <c:v>6.4399999999999999E-2</c:v>
                </c:pt>
                <c:pt idx="23">
                  <c:v>2.7199999999999998E-2</c:v>
                </c:pt>
              </c:numCache>
            </c:numRef>
          </c:xVal>
          <c:yVal>
            <c:numRef>
              <c:f>'5-2 베타 사례'!$C$2:$C$25</c:f>
              <c:numCache>
                <c:formatCode>0.00%</c:formatCode>
                <c:ptCount val="24"/>
                <c:pt idx="0">
                  <c:v>-0.28260000000000002</c:v>
                </c:pt>
                <c:pt idx="1">
                  <c:v>-3.0300000000000001E-2</c:v>
                </c:pt>
                <c:pt idx="2">
                  <c:v>8.7499999999999994E-2</c:v>
                </c:pt>
                <c:pt idx="3">
                  <c:v>-1.47E-2</c:v>
                </c:pt>
                <c:pt idx="4">
                  <c:v>-1.49E-2</c:v>
                </c:pt>
                <c:pt idx="5">
                  <c:v>-9.0899999999999995E-2</c:v>
                </c:pt>
                <c:pt idx="6">
                  <c:v>0.1067</c:v>
                </c:pt>
                <c:pt idx="7">
                  <c:v>-9.3799999999999994E-2</c:v>
                </c:pt>
                <c:pt idx="8">
                  <c:v>0.10340000000000001</c:v>
                </c:pt>
                <c:pt idx="9">
                  <c:v>-0.14380000000000001</c:v>
                </c:pt>
                <c:pt idx="10">
                  <c:v>-0.14810000000000001</c:v>
                </c:pt>
                <c:pt idx="11">
                  <c:v>-4.3499999999999997E-2</c:v>
                </c:pt>
                <c:pt idx="12">
                  <c:v>-5.45E-2</c:v>
                </c:pt>
                <c:pt idx="13">
                  <c:v>0.05</c:v>
                </c:pt>
                <c:pt idx="14">
                  <c:v>9.5200000000000007E-2</c:v>
                </c:pt>
                <c:pt idx="15">
                  <c:v>-8.6999999999999994E-3</c:v>
                </c:pt>
                <c:pt idx="16">
                  <c:v>0</c:v>
                </c:pt>
                <c:pt idx="17">
                  <c:v>4.5499999999999999E-2</c:v>
                </c:pt>
                <c:pt idx="18">
                  <c:v>3.4799999999999998E-2</c:v>
                </c:pt>
                <c:pt idx="19">
                  <c:v>0</c:v>
                </c:pt>
                <c:pt idx="20">
                  <c:v>-0.13039999999999999</c:v>
                </c:pt>
                <c:pt idx="21">
                  <c:v>0</c:v>
                </c:pt>
                <c:pt idx="22">
                  <c:v>1.4999999999999999E-2</c:v>
                </c:pt>
                <c:pt idx="23">
                  <c:v>-2.5600000000000001E-2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223-4EF0-AA88-70D278F930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2760784"/>
        <c:axId val="723469344"/>
      </c:scatterChart>
      <c:valAx>
        <c:axId val="852760784"/>
        <c:scaling>
          <c:orientation val="minMax"/>
        </c:scaling>
        <c:delete val="0"/>
        <c:axPos val="b"/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23469344"/>
        <c:crosses val="autoZero"/>
        <c:crossBetween val="midCat"/>
      </c:valAx>
      <c:valAx>
        <c:axId val="723469344"/>
        <c:scaling>
          <c:orientation val="minMax"/>
        </c:scaling>
        <c:delete val="0"/>
        <c:axPos val="l"/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52760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시장과 </a:t>
            </a:r>
            <a:r>
              <a:rPr lang="en-US" altLang="ko-KR"/>
              <a:t>B</a:t>
            </a:r>
            <a:r>
              <a:rPr lang="ko-KR" altLang="en-US"/>
              <a:t>의 산포도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50000"/>
                  </a:schemeClr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4166119860017498"/>
                  <c:y val="0.36218576844561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'5-2 베타 사례'!$B$2:$B$25</c:f>
              <c:numCache>
                <c:formatCode>0.00%</c:formatCode>
                <c:ptCount val="24"/>
                <c:pt idx="0">
                  <c:v>7.3200000000000001E-2</c:v>
                </c:pt>
                <c:pt idx="1">
                  <c:v>-2.47E-2</c:v>
                </c:pt>
                <c:pt idx="2">
                  <c:v>2.2599999999999999E-2</c:v>
                </c:pt>
                <c:pt idx="3">
                  <c:v>5.1799999999999999E-2</c:v>
                </c:pt>
                <c:pt idx="4">
                  <c:v>4.0399999999999998E-2</c:v>
                </c:pt>
                <c:pt idx="5">
                  <c:v>-5.8999999999999999E-3</c:v>
                </c:pt>
                <c:pt idx="6">
                  <c:v>9.01E-2</c:v>
                </c:pt>
                <c:pt idx="7">
                  <c:v>1.8599999999999998E-2</c:v>
                </c:pt>
                <c:pt idx="8">
                  <c:v>-4.0000000000000001E-3</c:v>
                </c:pt>
                <c:pt idx="9">
                  <c:v>-2.3400000000000001E-2</c:v>
                </c:pt>
                <c:pt idx="10">
                  <c:v>2.0400000000000001E-2</c:v>
                </c:pt>
                <c:pt idx="11">
                  <c:v>2.3800000000000002E-2</c:v>
                </c:pt>
                <c:pt idx="12">
                  <c:v>-6.7199999999999996E-2</c:v>
                </c:pt>
                <c:pt idx="13">
                  <c:v>1.2699999999999999E-2</c:v>
                </c:pt>
                <c:pt idx="14">
                  <c:v>2.6100000000000002E-2</c:v>
                </c:pt>
                <c:pt idx="15">
                  <c:v>-2.5000000000000001E-2</c:v>
                </c:pt>
                <c:pt idx="16">
                  <c:v>9.69E-2</c:v>
                </c:pt>
                <c:pt idx="17">
                  <c:v>-6.8999999999999999E-3</c:v>
                </c:pt>
                <c:pt idx="18">
                  <c:v>-3.2000000000000002E-3</c:v>
                </c:pt>
                <c:pt idx="19">
                  <c:v>-9.0300000000000005E-2</c:v>
                </c:pt>
                <c:pt idx="20">
                  <c:v>-4.8899999999999999E-2</c:v>
                </c:pt>
                <c:pt idx="21">
                  <c:v>-4.1000000000000003E-3</c:v>
                </c:pt>
                <c:pt idx="22">
                  <c:v>6.4399999999999999E-2</c:v>
                </c:pt>
                <c:pt idx="23">
                  <c:v>2.7199999999999998E-2</c:v>
                </c:pt>
              </c:numCache>
            </c:numRef>
          </c:xVal>
          <c:yVal>
            <c:numRef>
              <c:f>'5-2 베타 사례'!$D$2:$D$25</c:f>
              <c:numCache>
                <c:formatCode>0.00%</c:formatCode>
                <c:ptCount val="24"/>
                <c:pt idx="0">
                  <c:v>9.1600000000000001E-2</c:v>
                </c:pt>
                <c:pt idx="1">
                  <c:v>7.3000000000000001E-3</c:v>
                </c:pt>
                <c:pt idx="2">
                  <c:v>-2.8999999999999998E-3</c:v>
                </c:pt>
                <c:pt idx="3">
                  <c:v>2.2100000000000002E-2</c:v>
                </c:pt>
                <c:pt idx="4">
                  <c:v>-1.0800000000000001E-2</c:v>
                </c:pt>
                <c:pt idx="5">
                  <c:v>-6.4999999999999997E-3</c:v>
                </c:pt>
                <c:pt idx="6">
                  <c:v>2.2200000000000001E-2</c:v>
                </c:pt>
                <c:pt idx="7">
                  <c:v>0</c:v>
                </c:pt>
                <c:pt idx="8">
                  <c:v>1.8800000000000001E-2</c:v>
                </c:pt>
                <c:pt idx="9">
                  <c:v>-7.5499999999999998E-2</c:v>
                </c:pt>
                <c:pt idx="10">
                  <c:v>-0.12839999999999999</c:v>
                </c:pt>
                <c:pt idx="11">
                  <c:v>-1.7000000000000001E-2</c:v>
                </c:pt>
                <c:pt idx="12">
                  <c:v>-0.15210000000000001</c:v>
                </c:pt>
                <c:pt idx="13">
                  <c:v>7.6100000000000001E-2</c:v>
                </c:pt>
                <c:pt idx="14">
                  <c:v>1.11E-2</c:v>
                </c:pt>
                <c:pt idx="15">
                  <c:v>-5.1000000000000004E-3</c:v>
                </c:pt>
                <c:pt idx="16">
                  <c:v>0.12709999999999999</c:v>
                </c:pt>
                <c:pt idx="17">
                  <c:v>3.32E-2</c:v>
                </c:pt>
                <c:pt idx="18">
                  <c:v>3.1699999999999999E-2</c:v>
                </c:pt>
                <c:pt idx="19">
                  <c:v>-0.1472</c:v>
                </c:pt>
                <c:pt idx="20">
                  <c:v>-1.9099999999999999E-2</c:v>
                </c:pt>
                <c:pt idx="21">
                  <c:v>-0.125</c:v>
                </c:pt>
                <c:pt idx="22">
                  <c:v>0.1726</c:v>
                </c:pt>
                <c:pt idx="23">
                  <c:v>-8.5300000000000001E-2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223-4EF0-AA88-70D278F930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2760784"/>
        <c:axId val="723469344"/>
      </c:scatterChart>
      <c:valAx>
        <c:axId val="852760784"/>
        <c:scaling>
          <c:orientation val="minMax"/>
        </c:scaling>
        <c:delete val="0"/>
        <c:axPos val="b"/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23469344"/>
        <c:crosses val="autoZero"/>
        <c:crossBetween val="midCat"/>
      </c:valAx>
      <c:valAx>
        <c:axId val="723469344"/>
        <c:scaling>
          <c:orientation val="minMax"/>
        </c:scaling>
        <c:delete val="0"/>
        <c:axPos val="l"/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52760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247649</xdr:colOff>
      <xdr:row>1</xdr:row>
      <xdr:rowOff>238124</xdr:rowOff>
    </xdr:from>
    <xdr:to>
      <xdr:col>14</xdr:col>
      <xdr:colOff>409574</xdr:colOff>
      <xdr:row>16</xdr:row>
      <xdr:rowOff>47624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E01879F3-DFB1-4BF7-A6A6-85E39CED99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223837</xdr:colOff>
      <xdr:row>2</xdr:row>
      <xdr:rowOff>61912</xdr:rowOff>
    </xdr:from>
    <xdr:to>
      <xdr:col>12</xdr:col>
      <xdr:colOff>528637</xdr:colOff>
      <xdr:row>19</xdr:row>
      <xdr:rowOff>52387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C1456B01-E69E-4C42-8A83-200C8CEEF6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5</xdr:row>
      <xdr:rowOff>28575</xdr:rowOff>
    </xdr:from>
    <xdr:to>
      <xdr:col>12</xdr:col>
      <xdr:colOff>333374</xdr:colOff>
      <xdr:row>16</xdr:row>
      <xdr:rowOff>209550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6F01B62F-0200-40B3-AE06-A3947ADC28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104775</xdr:colOff>
      <xdr:row>2</xdr:row>
      <xdr:rowOff>66674</xdr:rowOff>
    </xdr:from>
    <xdr:to>
      <xdr:col>26</xdr:col>
      <xdr:colOff>0</xdr:colOff>
      <xdr:row>13</xdr:row>
      <xdr:rowOff>123825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E594F402-AC48-4819-B22D-6BEE5F9B80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85725</xdr:colOff>
      <xdr:row>15</xdr:row>
      <xdr:rowOff>47624</xdr:rowOff>
    </xdr:from>
    <xdr:to>
      <xdr:col>26</xdr:col>
      <xdr:colOff>0</xdr:colOff>
      <xdr:row>26</xdr:row>
      <xdr:rowOff>104775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77B9600A-5219-4848-A342-05507A3D38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114300</xdr:colOff>
      <xdr:row>28</xdr:row>
      <xdr:rowOff>57149</xdr:rowOff>
    </xdr:from>
    <xdr:to>
      <xdr:col>26</xdr:col>
      <xdr:colOff>0</xdr:colOff>
      <xdr:row>39</xdr:row>
      <xdr:rowOff>114300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60F128FD-67AE-4537-B23F-F9571274D1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114300</xdr:colOff>
      <xdr:row>41</xdr:row>
      <xdr:rowOff>38099</xdr:rowOff>
    </xdr:from>
    <xdr:to>
      <xdr:col>26</xdr:col>
      <xdr:colOff>0</xdr:colOff>
      <xdr:row>52</xdr:row>
      <xdr:rowOff>95250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04A0F760-04D2-4E3F-81A6-E16ADC9594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25</xdr:row>
      <xdr:rowOff>52387</xdr:rowOff>
    </xdr:from>
    <xdr:to>
      <xdr:col>6</xdr:col>
      <xdr:colOff>1314450</xdr:colOff>
      <xdr:row>43</xdr:row>
      <xdr:rowOff>19050</xdr:rowOff>
    </xdr:to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B59BB7C-F6AE-4C36-BECA-B1B685DCD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85725</xdr:colOff>
      <xdr:row>25</xdr:row>
      <xdr:rowOff>61912</xdr:rowOff>
    </xdr:from>
    <xdr:to>
      <xdr:col>10</xdr:col>
      <xdr:colOff>1352550</xdr:colOff>
      <xdr:row>43</xdr:row>
      <xdr:rowOff>28575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57CC16F8-1ACC-4FAE-B932-33911D02AA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2</xdr:row>
      <xdr:rowOff>14287</xdr:rowOff>
    </xdr:from>
    <xdr:to>
      <xdr:col>13</xdr:col>
      <xdr:colOff>457200</xdr:colOff>
      <xdr:row>20</xdr:row>
      <xdr:rowOff>14287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E0766786-1096-4839-84F3-AE418D414E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352425</xdr:colOff>
      <xdr:row>7</xdr:row>
      <xdr:rowOff>104775</xdr:rowOff>
    </xdr:from>
    <xdr:to>
      <xdr:col>11</xdr:col>
      <xdr:colOff>542925</xdr:colOff>
      <xdr:row>12</xdr:row>
      <xdr:rowOff>57151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FA58B6CA-4675-47F2-AE7B-9A6BAAC3D2E8}"/>
            </a:ext>
          </a:extLst>
        </xdr:cNvPr>
        <xdr:cNvCxnSpPr/>
      </xdr:nvCxnSpPr>
      <xdr:spPr>
        <a:xfrm flipV="1">
          <a:off x="8477250" y="1171575"/>
          <a:ext cx="2628900" cy="71437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592460</xdr:colOff>
      <xdr:row>3</xdr:row>
      <xdr:rowOff>53070</xdr:rowOff>
    </xdr:from>
    <xdr:to>
      <xdr:col>9</xdr:col>
      <xdr:colOff>157825</xdr:colOff>
      <xdr:row>12</xdr:row>
      <xdr:rowOff>68690</xdr:rowOff>
    </xdr:to>
    <xdr:sp macro="" textlink="">
      <xdr:nvSpPr>
        <xdr:cNvPr id="10" name="원호 9">
          <a:extLst>
            <a:ext uri="{FF2B5EF4-FFF2-40B4-BE49-F238E27FC236}">
              <a16:creationId xmlns:a16="http://schemas.microsoft.com/office/drawing/2014/main" id="{F1B4FA41-1B05-4CF1-98AF-2F488705B8C6}"/>
            </a:ext>
          </a:extLst>
        </xdr:cNvPr>
        <xdr:cNvSpPr/>
      </xdr:nvSpPr>
      <xdr:spPr>
        <a:xfrm rot="2682521">
          <a:off x="8717285" y="510270"/>
          <a:ext cx="784565" cy="1387220"/>
        </a:xfrm>
        <a:prstGeom prst="arc">
          <a:avLst>
            <a:gd name="adj1" fmla="val 17037490"/>
            <a:gd name="adj2" fmla="val 5350051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219075</xdr:colOff>
      <xdr:row>11</xdr:row>
      <xdr:rowOff>38100</xdr:rowOff>
    </xdr:from>
    <xdr:to>
      <xdr:col>8</xdr:col>
      <xdr:colOff>276225</xdr:colOff>
      <xdr:row>11</xdr:row>
      <xdr:rowOff>104775</xdr:rowOff>
    </xdr:to>
    <xdr:sp macro="" textlink="">
      <xdr:nvSpPr>
        <xdr:cNvPr id="11" name="타원 10">
          <a:extLst>
            <a:ext uri="{FF2B5EF4-FFF2-40B4-BE49-F238E27FC236}">
              <a16:creationId xmlns:a16="http://schemas.microsoft.com/office/drawing/2014/main" id="{ED91F480-AE81-4031-928C-EAE3D11833DE}"/>
            </a:ext>
          </a:extLst>
        </xdr:cNvPr>
        <xdr:cNvSpPr/>
      </xdr:nvSpPr>
      <xdr:spPr>
        <a:xfrm>
          <a:off x="8953500" y="1714500"/>
          <a:ext cx="57150" cy="66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195262</xdr:colOff>
      <xdr:row>1</xdr:row>
      <xdr:rowOff>80962</xdr:rowOff>
    </xdr:from>
    <xdr:to>
      <xdr:col>10</xdr:col>
      <xdr:colOff>500062</xdr:colOff>
      <xdr:row>19</xdr:row>
      <xdr:rowOff>80962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5A451D3E-F048-4AEC-8F3D-7212DFE3F8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</xdr:row>
      <xdr:rowOff>90487</xdr:rowOff>
    </xdr:from>
    <xdr:to>
      <xdr:col>11</xdr:col>
      <xdr:colOff>409575</xdr:colOff>
      <xdr:row>19</xdr:row>
      <xdr:rowOff>90487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4ADAA205-9038-4EFE-9E18-44505EEE10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95250</xdr:colOff>
      <xdr:row>20</xdr:row>
      <xdr:rowOff>80962</xdr:rowOff>
    </xdr:from>
    <xdr:to>
      <xdr:col>11</xdr:col>
      <xdr:colOff>400050</xdr:colOff>
      <xdr:row>38</xdr:row>
      <xdr:rowOff>80962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9CB6AA61-F180-4EEA-A250-53E6FC7F27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476250</xdr:colOff>
      <xdr:row>20</xdr:row>
      <xdr:rowOff>90487</xdr:rowOff>
    </xdr:from>
    <xdr:to>
      <xdr:col>19</xdr:col>
      <xdr:colOff>171450</xdr:colOff>
      <xdr:row>38</xdr:row>
      <xdr:rowOff>90487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F5AC7D6B-C447-45B7-9620-BFC17B7135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</xdr:colOff>
      <xdr:row>9</xdr:row>
      <xdr:rowOff>69850</xdr:rowOff>
    </xdr:from>
    <xdr:to>
      <xdr:col>2</xdr:col>
      <xdr:colOff>628650</xdr:colOff>
      <xdr:row>10</xdr:row>
      <xdr:rowOff>76200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7E8B86C-7177-4702-AC71-38035941DBD4}"/>
            </a:ext>
          </a:extLst>
        </xdr:cNvPr>
        <xdr:cNvSpPr>
          <a:spLocks noChangeShapeType="1"/>
        </xdr:cNvSpPr>
      </xdr:nvSpPr>
      <xdr:spPr bwMode="auto">
        <a:xfrm flipV="1">
          <a:off x="2641600" y="1860550"/>
          <a:ext cx="323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25400</xdr:colOff>
      <xdr:row>10</xdr:row>
      <xdr:rowOff>88900</xdr:rowOff>
    </xdr:from>
    <xdr:to>
      <xdr:col>2</xdr:col>
      <xdr:colOff>628650</xdr:colOff>
      <xdr:row>11</xdr:row>
      <xdr:rowOff>127000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A948A76-9238-40B0-A317-0A9D3E907CD9}"/>
            </a:ext>
          </a:extLst>
        </xdr:cNvPr>
        <xdr:cNvSpPr>
          <a:spLocks noChangeShapeType="1"/>
        </xdr:cNvSpPr>
      </xdr:nvSpPr>
      <xdr:spPr bwMode="auto">
        <a:xfrm>
          <a:off x="2635250" y="2063750"/>
          <a:ext cx="330200" cy="222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31750</xdr:colOff>
      <xdr:row>20</xdr:row>
      <xdr:rowOff>0</xdr:rowOff>
    </xdr:from>
    <xdr:to>
      <xdr:col>2</xdr:col>
      <xdr:colOff>628650</xdr:colOff>
      <xdr:row>21</xdr:row>
      <xdr:rowOff>6350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948763E-EDDB-46DA-BF95-56BA58890E13}"/>
            </a:ext>
          </a:extLst>
        </xdr:cNvPr>
        <xdr:cNvSpPr>
          <a:spLocks noChangeShapeType="1"/>
        </xdr:cNvSpPr>
      </xdr:nvSpPr>
      <xdr:spPr bwMode="auto">
        <a:xfrm flipV="1">
          <a:off x="2641600" y="3797300"/>
          <a:ext cx="323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25400</xdr:colOff>
      <xdr:row>21</xdr:row>
      <xdr:rowOff>19050</xdr:rowOff>
    </xdr:from>
    <xdr:to>
      <xdr:col>2</xdr:col>
      <xdr:colOff>628650</xdr:colOff>
      <xdr:row>22</xdr:row>
      <xdr:rowOff>57150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201FCDB-3B45-405A-B7F1-C019DC953A3C}"/>
            </a:ext>
          </a:extLst>
        </xdr:cNvPr>
        <xdr:cNvSpPr>
          <a:spLocks noChangeShapeType="1"/>
        </xdr:cNvSpPr>
      </xdr:nvSpPr>
      <xdr:spPr bwMode="auto">
        <a:xfrm>
          <a:off x="2635250" y="4000500"/>
          <a:ext cx="330200" cy="222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31750</xdr:colOff>
      <xdr:row>17</xdr:row>
      <xdr:rowOff>177800</xdr:rowOff>
    </xdr:from>
    <xdr:to>
      <xdr:col>4</xdr:col>
      <xdr:colOff>628650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DC5B77E0-DA9C-44F7-9E22-FF154732F0E3}"/>
            </a:ext>
          </a:extLst>
        </xdr:cNvPr>
        <xdr:cNvSpPr>
          <a:spLocks noChangeShapeType="1"/>
        </xdr:cNvSpPr>
      </xdr:nvSpPr>
      <xdr:spPr bwMode="auto">
        <a:xfrm flipV="1">
          <a:off x="4140200" y="3422650"/>
          <a:ext cx="2984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25400</xdr:colOff>
      <xdr:row>19</xdr:row>
      <xdr:rowOff>6350</xdr:rowOff>
    </xdr:from>
    <xdr:to>
      <xdr:col>4</xdr:col>
      <xdr:colOff>628650</xdr:colOff>
      <xdr:row>20</xdr:row>
      <xdr:rowOff>57150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B0BF5AA-BD0B-40D5-AF03-100CFCE25F4B}"/>
            </a:ext>
          </a:extLst>
        </xdr:cNvPr>
        <xdr:cNvSpPr>
          <a:spLocks noChangeShapeType="1"/>
        </xdr:cNvSpPr>
      </xdr:nvSpPr>
      <xdr:spPr bwMode="auto">
        <a:xfrm>
          <a:off x="4133850" y="3619500"/>
          <a:ext cx="304800" cy="234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31750</xdr:colOff>
      <xdr:row>22</xdr:row>
      <xdr:rowOff>146050</xdr:rowOff>
    </xdr:from>
    <xdr:to>
      <xdr:col>4</xdr:col>
      <xdr:colOff>628650</xdr:colOff>
      <xdr:row>23</xdr:row>
      <xdr:rowOff>152400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299FEE19-BB05-4C00-B274-3B0E117691BE}"/>
            </a:ext>
          </a:extLst>
        </xdr:cNvPr>
        <xdr:cNvSpPr>
          <a:spLocks noChangeShapeType="1"/>
        </xdr:cNvSpPr>
      </xdr:nvSpPr>
      <xdr:spPr bwMode="auto">
        <a:xfrm flipV="1">
          <a:off x="4140200" y="4311650"/>
          <a:ext cx="298450" cy="184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25400</xdr:colOff>
      <xdr:row>23</xdr:row>
      <xdr:rowOff>165100</xdr:rowOff>
    </xdr:from>
    <xdr:to>
      <xdr:col>4</xdr:col>
      <xdr:colOff>628650</xdr:colOff>
      <xdr:row>25</xdr:row>
      <xdr:rowOff>31750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B9AE92F-8621-414C-9373-A3BB9AA97E83}"/>
            </a:ext>
          </a:extLst>
        </xdr:cNvPr>
        <xdr:cNvSpPr>
          <a:spLocks noChangeShapeType="1"/>
        </xdr:cNvSpPr>
      </xdr:nvSpPr>
      <xdr:spPr bwMode="auto">
        <a:xfrm>
          <a:off x="4133850" y="4508500"/>
          <a:ext cx="304800" cy="234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77"/>
  <sheetViews>
    <sheetView tabSelected="1" workbookViewId="0">
      <pane ySplit="1" topLeftCell="A2" activePane="bottomLeft" state="frozen"/>
      <selection pane="bottomLeft"/>
    </sheetView>
  </sheetViews>
  <sheetFormatPr defaultColWidth="9.109375" defaultRowHeight="13.2" x14ac:dyDescent="0.25"/>
  <cols>
    <col min="1" max="2" width="20.5546875" style="2" customWidth="1"/>
    <col min="3" max="16384" width="9.109375" style="2"/>
  </cols>
  <sheetData>
    <row r="1" spans="1:2" ht="23.25" customHeight="1" x14ac:dyDescent="0.25">
      <c r="A1" s="1" t="s">
        <v>276</v>
      </c>
      <c r="B1" s="2" t="s">
        <v>277</v>
      </c>
    </row>
    <row r="2" spans="1:2" ht="23.25" customHeight="1" x14ac:dyDescent="0.25">
      <c r="A2" s="1" t="s">
        <v>0</v>
      </c>
      <c r="B2" s="3">
        <v>0.22450556854662906</v>
      </c>
    </row>
    <row r="3" spans="1:2" ht="23.25" customHeight="1" x14ac:dyDescent="0.25">
      <c r="A3" s="1" t="s">
        <v>1</v>
      </c>
      <c r="B3" s="3">
        <v>-6.4426858280331997E-2</v>
      </c>
    </row>
    <row r="4" spans="1:2" ht="23.25" customHeight="1" x14ac:dyDescent="0.25">
      <c r="A4" s="1" t="s">
        <v>2</v>
      </c>
      <c r="B4" s="3">
        <v>-9.4931672720982518E-2</v>
      </c>
    </row>
    <row r="5" spans="1:2" ht="23.25" customHeight="1" x14ac:dyDescent="0.25">
      <c r="A5" s="1" t="s">
        <v>3</v>
      </c>
      <c r="B5" s="3">
        <v>0.10347463781965519</v>
      </c>
    </row>
    <row r="6" spans="1:2" ht="23.25" customHeight="1" x14ac:dyDescent="0.25">
      <c r="A6" s="1" t="s">
        <v>4</v>
      </c>
      <c r="B6" s="3">
        <v>6.0274352223915674E-2</v>
      </c>
    </row>
    <row r="7" spans="1:2" ht="23.25" customHeight="1" x14ac:dyDescent="0.25">
      <c r="A7" s="1" t="s">
        <v>5</v>
      </c>
      <c r="B7" s="3">
        <v>-2.7819524307370579E-2</v>
      </c>
    </row>
    <row r="8" spans="1:2" ht="23.25" customHeight="1" x14ac:dyDescent="0.25">
      <c r="A8" s="1" t="s">
        <v>6</v>
      </c>
      <c r="B8" s="3">
        <v>-9.0030749584124548E-2</v>
      </c>
    </row>
    <row r="9" spans="1:2" ht="23.25" customHeight="1" x14ac:dyDescent="0.25">
      <c r="A9" s="1" t="s">
        <v>7</v>
      </c>
      <c r="B9" s="3">
        <v>6.5737235712308361E-3</v>
      </c>
    </row>
    <row r="10" spans="1:2" ht="23.25" customHeight="1" x14ac:dyDescent="0.25">
      <c r="A10" s="1" t="s">
        <v>8</v>
      </c>
      <c r="B10" s="3">
        <v>-0.12003081946763039</v>
      </c>
    </row>
    <row r="11" spans="1:2" ht="23.25" customHeight="1" x14ac:dyDescent="0.25">
      <c r="A11" s="1" t="s">
        <v>9</v>
      </c>
      <c r="B11" s="3">
        <v>0.12118495663775837</v>
      </c>
    </row>
    <row r="12" spans="1:2" ht="23.25" customHeight="1" x14ac:dyDescent="0.25">
      <c r="A12" s="1" t="s">
        <v>10</v>
      </c>
      <c r="B12" s="3">
        <v>0.19724437998549682</v>
      </c>
    </row>
    <row r="13" spans="1:2" ht="23.25" customHeight="1" x14ac:dyDescent="0.25">
      <c r="A13" s="1" t="s">
        <v>11</v>
      </c>
      <c r="B13" s="3">
        <v>7.7357933808569881E-2</v>
      </c>
    </row>
    <row r="14" spans="1:2" ht="23.25" customHeight="1" x14ac:dyDescent="0.25">
      <c r="A14" s="1" t="s">
        <v>12</v>
      </c>
      <c r="B14" s="3">
        <v>7.8376819950987456E-2</v>
      </c>
    </row>
    <row r="15" spans="1:2" ht="23.25" customHeight="1" x14ac:dyDescent="0.25">
      <c r="A15" s="1" t="s">
        <v>13</v>
      </c>
      <c r="B15" s="3">
        <v>9.6140735492667731E-2</v>
      </c>
    </row>
    <row r="16" spans="1:2" ht="23.25" customHeight="1" x14ac:dyDescent="0.25">
      <c r="A16" s="1" t="s">
        <v>14</v>
      </c>
      <c r="B16" s="3">
        <v>9.2184051025012537E-2</v>
      </c>
    </row>
    <row r="17" spans="1:2" ht="23.25" customHeight="1" x14ac:dyDescent="0.25">
      <c r="A17" s="1" t="s">
        <v>15</v>
      </c>
      <c r="B17" s="3">
        <v>-5.9447508876928928E-2</v>
      </c>
    </row>
    <row r="18" spans="1:2" ht="23.25" customHeight="1" x14ac:dyDescent="0.25">
      <c r="A18" s="1" t="s">
        <v>16</v>
      </c>
      <c r="B18" s="3">
        <v>-5.4538547379917909E-2</v>
      </c>
    </row>
    <row r="19" spans="1:2" ht="23.25" customHeight="1" x14ac:dyDescent="0.25">
      <c r="A19" s="1" t="s">
        <v>17</v>
      </c>
      <c r="B19" s="3">
        <v>-6.7403314917127005E-2</v>
      </c>
    </row>
    <row r="20" spans="1:2" ht="23.25" customHeight="1" x14ac:dyDescent="0.25">
      <c r="A20" s="1" t="s">
        <v>18</v>
      </c>
      <c r="B20" s="3">
        <v>-3.329653166738477E-2</v>
      </c>
    </row>
    <row r="21" spans="1:2" ht="23.25" customHeight="1" x14ac:dyDescent="0.25">
      <c r="A21" s="1" t="s">
        <v>19</v>
      </c>
      <c r="B21" s="3">
        <v>2.5641025641025595E-2</v>
      </c>
    </row>
    <row r="22" spans="1:2" ht="23.25" customHeight="1" x14ac:dyDescent="0.25">
      <c r="A22" s="1" t="s">
        <v>20</v>
      </c>
      <c r="B22" s="3">
        <v>-0.12218902770233571</v>
      </c>
    </row>
    <row r="23" spans="1:2" ht="23.25" customHeight="1" x14ac:dyDescent="0.25">
      <c r="A23" s="1" t="s">
        <v>21</v>
      </c>
      <c r="B23" s="3">
        <v>1.933727298041521E-2</v>
      </c>
    </row>
    <row r="24" spans="1:2" ht="23.25" customHeight="1" x14ac:dyDescent="0.25">
      <c r="A24" s="1" t="s">
        <v>22</v>
      </c>
      <c r="B24" s="3">
        <v>9.9981788380987063E-2</v>
      </c>
    </row>
    <row r="25" spans="1:2" ht="23.25" customHeight="1" x14ac:dyDescent="0.25">
      <c r="A25" s="1" t="s">
        <v>23</v>
      </c>
      <c r="B25" s="3">
        <v>-0.13417494481236203</v>
      </c>
    </row>
    <row r="26" spans="1:2" ht="23.25" customHeight="1" x14ac:dyDescent="0.25">
      <c r="A26" s="1" t="s">
        <v>24</v>
      </c>
      <c r="B26" s="3">
        <v>-5.6871962393434693E-2</v>
      </c>
    </row>
    <row r="27" spans="1:2" ht="23.25" customHeight="1" x14ac:dyDescent="0.25">
      <c r="A27" s="1" t="s">
        <v>25</v>
      </c>
      <c r="B27" s="3">
        <v>-2.7759943229817969E-2</v>
      </c>
    </row>
    <row r="28" spans="1:2" ht="23.25" customHeight="1" x14ac:dyDescent="0.25">
      <c r="A28" s="1" t="s">
        <v>26</v>
      </c>
      <c r="B28" s="3">
        <v>-6.904401925516554E-2</v>
      </c>
    </row>
    <row r="29" spans="1:2" ht="23.25" customHeight="1" x14ac:dyDescent="0.25">
      <c r="A29" s="1" t="s">
        <v>27</v>
      </c>
      <c r="B29" s="3">
        <v>0.11881650177338057</v>
      </c>
    </row>
    <row r="30" spans="1:2" ht="23.25" customHeight="1" x14ac:dyDescent="0.25">
      <c r="A30" s="1" t="s">
        <v>28</v>
      </c>
      <c r="B30" s="3">
        <v>5.6844915324935241E-2</v>
      </c>
    </row>
    <row r="31" spans="1:2" ht="23.25" customHeight="1" x14ac:dyDescent="0.25">
      <c r="A31" s="1" t="s">
        <v>29</v>
      </c>
      <c r="B31" s="3">
        <v>5.763948091313819E-2</v>
      </c>
    </row>
    <row r="32" spans="1:2" ht="23.25" customHeight="1" x14ac:dyDescent="0.25">
      <c r="A32" s="1" t="s">
        <v>30</v>
      </c>
      <c r="B32" s="3">
        <v>6.5066499485020871E-2</v>
      </c>
    </row>
    <row r="33" spans="1:2" ht="23.25" customHeight="1" x14ac:dyDescent="0.25">
      <c r="A33" s="1" t="s">
        <v>31</v>
      </c>
      <c r="B33" s="3">
        <v>6.4399035766341581E-2</v>
      </c>
    </row>
    <row r="34" spans="1:2" ht="23.25" customHeight="1" x14ac:dyDescent="0.25">
      <c r="A34" s="1" t="s">
        <v>32</v>
      </c>
      <c r="B34" s="3">
        <v>-8.1570042266317352E-2</v>
      </c>
    </row>
    <row r="35" spans="1:2" ht="23.25" customHeight="1" x14ac:dyDescent="0.25">
      <c r="A35" s="1" t="s">
        <v>33</v>
      </c>
      <c r="B35" s="3">
        <v>0.12163092097717633</v>
      </c>
    </row>
    <row r="36" spans="1:2" ht="23.25" customHeight="1" x14ac:dyDescent="0.25">
      <c r="A36" s="1" t="s">
        <v>34</v>
      </c>
      <c r="B36" s="3">
        <v>1.766450227516736E-2</v>
      </c>
    </row>
    <row r="37" spans="1:2" ht="23.25" customHeight="1" x14ac:dyDescent="0.25">
      <c r="A37" s="1" t="s">
        <v>35</v>
      </c>
      <c r="B37" s="3">
        <v>1.8249642040744665E-2</v>
      </c>
    </row>
    <row r="38" spans="1:2" ht="23.25" customHeight="1" x14ac:dyDescent="0.25">
      <c r="A38" s="1" t="s">
        <v>36</v>
      </c>
      <c r="B38" s="3">
        <v>4.6613462273809331E-2</v>
      </c>
    </row>
    <row r="39" spans="1:2" ht="23.25" customHeight="1" x14ac:dyDescent="0.25">
      <c r="A39" s="1" t="s">
        <v>37</v>
      </c>
      <c r="B39" s="3">
        <v>4.1154979375368252E-2</v>
      </c>
    </row>
    <row r="40" spans="1:2" ht="23.25" customHeight="1" x14ac:dyDescent="0.25">
      <c r="A40" s="1" t="s">
        <v>38</v>
      </c>
      <c r="B40" s="3">
        <v>-3.3053360802335913E-3</v>
      </c>
    </row>
    <row r="41" spans="1:2" ht="23.25" customHeight="1" x14ac:dyDescent="0.25">
      <c r="A41" s="1" t="s">
        <v>39</v>
      </c>
      <c r="B41" s="3">
        <v>-2.0056785917092524E-2</v>
      </c>
    </row>
    <row r="42" spans="1:2" ht="23.25" customHeight="1" x14ac:dyDescent="0.25">
      <c r="A42" s="1" t="s">
        <v>40</v>
      </c>
      <c r="B42" s="3">
        <v>-6.8378841963747619E-2</v>
      </c>
    </row>
    <row r="43" spans="1:2" ht="23.25" customHeight="1" x14ac:dyDescent="0.25">
      <c r="A43" s="1" t="s">
        <v>41</v>
      </c>
      <c r="B43" s="3">
        <v>-2.2454717356687984E-2</v>
      </c>
    </row>
    <row r="44" spans="1:2" ht="23.25" customHeight="1" x14ac:dyDescent="0.25">
      <c r="A44" s="1" t="s">
        <v>42</v>
      </c>
      <c r="B44" s="3">
        <v>-6.4202904083788204E-2</v>
      </c>
    </row>
    <row r="45" spans="1:2" ht="23.25" customHeight="1" x14ac:dyDescent="0.25">
      <c r="A45" s="1" t="s">
        <v>43</v>
      </c>
      <c r="B45" s="3">
        <v>9.2787010090570374E-2</v>
      </c>
    </row>
    <row r="46" spans="1:2" ht="23.25" customHeight="1" x14ac:dyDescent="0.25">
      <c r="A46" s="1" t="s">
        <v>44</v>
      </c>
      <c r="B46" s="3">
        <v>3.9224958622148635E-2</v>
      </c>
    </row>
    <row r="47" spans="1:2" ht="23.25" customHeight="1" x14ac:dyDescent="0.25">
      <c r="A47" s="1" t="s">
        <v>45</v>
      </c>
      <c r="B47" s="3">
        <v>-2.9936893029493825E-4</v>
      </c>
    </row>
    <row r="48" spans="1:2" ht="23.25" customHeight="1" x14ac:dyDescent="0.25">
      <c r="A48" s="1" t="s">
        <v>46</v>
      </c>
      <c r="B48" s="3">
        <v>5.1770399118393838E-2</v>
      </c>
    </row>
    <row r="49" spans="1:2" ht="23.25" customHeight="1" x14ac:dyDescent="0.25">
      <c r="A49" s="1" t="s">
        <v>47</v>
      </c>
      <c r="B49" s="3">
        <v>2.03402956517778E-2</v>
      </c>
    </row>
    <row r="50" spans="1:2" ht="23.25" customHeight="1" x14ac:dyDescent="0.25">
      <c r="A50" s="1" t="s">
        <v>48</v>
      </c>
      <c r="B50" s="3">
        <v>4.1052772568979469E-2</v>
      </c>
    </row>
    <row r="51" spans="1:2" ht="23.25" customHeight="1" x14ac:dyDescent="0.25">
      <c r="A51" s="1" t="s">
        <v>49</v>
      </c>
      <c r="B51" s="3">
        <v>8.4335799292376931E-2</v>
      </c>
    </row>
    <row r="52" spans="1:2" ht="23.25" customHeight="1" x14ac:dyDescent="0.25">
      <c r="A52" s="1" t="s">
        <v>50</v>
      </c>
      <c r="B52" s="3">
        <v>-4.5166903970890744E-2</v>
      </c>
    </row>
    <row r="53" spans="1:2" ht="23.25" customHeight="1" x14ac:dyDescent="0.25">
      <c r="A53" s="1" t="s">
        <v>51</v>
      </c>
      <c r="B53" s="3">
        <v>-5.6312650153259876E-2</v>
      </c>
    </row>
    <row r="54" spans="1:2" ht="23.25" customHeight="1" x14ac:dyDescent="0.25">
      <c r="A54" s="1" t="s">
        <v>52</v>
      </c>
      <c r="B54" s="3">
        <v>6.4643915285855461E-2</v>
      </c>
    </row>
    <row r="55" spans="1:2" ht="23.25" customHeight="1" x14ac:dyDescent="0.25">
      <c r="A55" s="1" t="s">
        <v>53</v>
      </c>
      <c r="B55" s="3">
        <v>3.9115243091701724E-2</v>
      </c>
    </row>
    <row r="56" spans="1:2" ht="23.25" customHeight="1" x14ac:dyDescent="0.25">
      <c r="A56" s="1" t="s">
        <v>54</v>
      </c>
      <c r="B56" s="3">
        <v>0.10229527059196952</v>
      </c>
    </row>
    <row r="57" spans="1:2" ht="23.25" customHeight="1" x14ac:dyDescent="0.25">
      <c r="A57" s="1" t="s">
        <v>55</v>
      </c>
      <c r="B57" s="3">
        <v>-2.5159949248171078E-2</v>
      </c>
    </row>
    <row r="58" spans="1:2" ht="23.25" customHeight="1" x14ac:dyDescent="0.25">
      <c r="A58" s="1" t="s">
        <v>56</v>
      </c>
      <c r="B58" s="3">
        <v>0.12708962181422104</v>
      </c>
    </row>
    <row r="59" spans="1:2" ht="23.25" customHeight="1" x14ac:dyDescent="0.25">
      <c r="A59" s="1" t="s">
        <v>57</v>
      </c>
      <c r="B59" s="3">
        <v>-5.1514729609094187E-2</v>
      </c>
    </row>
    <row r="60" spans="1:2" ht="23.25" customHeight="1" x14ac:dyDescent="0.25">
      <c r="A60" s="1" t="s">
        <v>58</v>
      </c>
      <c r="B60" s="3">
        <v>0.12030808817815247</v>
      </c>
    </row>
    <row r="61" spans="1:2" ht="23.25" customHeight="1" x14ac:dyDescent="0.25">
      <c r="A61" s="1" t="s">
        <v>59</v>
      </c>
      <c r="B61" s="3">
        <v>6.3147428782833762E-2</v>
      </c>
    </row>
    <row r="62" spans="1:2" ht="23.25" customHeight="1" x14ac:dyDescent="0.25">
      <c r="A62" s="1" t="s">
        <v>60</v>
      </c>
      <c r="B62" s="3">
        <v>1.4832858478870817E-2</v>
      </c>
    </row>
    <row r="63" spans="1:2" ht="23.25" customHeight="1" x14ac:dyDescent="0.25">
      <c r="A63" s="1" t="s">
        <v>61</v>
      </c>
      <c r="B63" s="3">
        <v>-2.0173878256645458E-2</v>
      </c>
    </row>
    <row r="64" spans="1:2" ht="23.25" customHeight="1" x14ac:dyDescent="0.25">
      <c r="A64" s="1" t="s">
        <v>62</v>
      </c>
      <c r="B64" s="3">
        <v>-8.7416793648247733E-3</v>
      </c>
    </row>
    <row r="65" spans="1:2" ht="23.25" customHeight="1" x14ac:dyDescent="0.25">
      <c r="A65" s="1" t="s">
        <v>63</v>
      </c>
      <c r="B65" s="3">
        <v>4.4226243012650865E-2</v>
      </c>
    </row>
    <row r="66" spans="1:2" ht="23.25" customHeight="1" x14ac:dyDescent="0.25">
      <c r="A66" s="1" t="s">
        <v>64</v>
      </c>
      <c r="B66" s="3">
        <v>-7.1865777295682956E-2</v>
      </c>
    </row>
    <row r="67" spans="1:2" ht="23.25" customHeight="1" x14ac:dyDescent="0.25">
      <c r="A67" s="1" t="s">
        <v>65</v>
      </c>
      <c r="B67" s="3">
        <v>-1.7113151703726154E-2</v>
      </c>
    </row>
    <row r="68" spans="1:2" ht="23.25" customHeight="1" x14ac:dyDescent="0.25">
      <c r="A68" s="1" t="s">
        <v>66</v>
      </c>
      <c r="B68" s="3">
        <v>2.0615372736747443E-3</v>
      </c>
    </row>
    <row r="69" spans="1:2" ht="23.25" customHeight="1" x14ac:dyDescent="0.25">
      <c r="A69" s="1" t="s">
        <v>67</v>
      </c>
      <c r="B69" s="3">
        <v>4.231711639518583E-2</v>
      </c>
    </row>
    <row r="70" spans="1:2" ht="23.25" customHeight="1" x14ac:dyDescent="0.25">
      <c r="A70" s="1" t="s">
        <v>68</v>
      </c>
      <c r="B70" s="3">
        <v>1.3801617457900315E-2</v>
      </c>
    </row>
    <row r="71" spans="1:2" ht="23.25" customHeight="1" x14ac:dyDescent="0.25">
      <c r="A71" s="1" t="s">
        <v>69</v>
      </c>
      <c r="B71" s="3">
        <v>-5.002151070795843E-3</v>
      </c>
    </row>
    <row r="72" spans="1:2" ht="23.25" customHeight="1" x14ac:dyDescent="0.25">
      <c r="A72" s="1" t="s">
        <v>70</v>
      </c>
      <c r="B72" s="3">
        <v>4.9584111978307928E-2</v>
      </c>
    </row>
    <row r="73" spans="1:2" ht="23.25" customHeight="1" x14ac:dyDescent="0.25">
      <c r="A73" s="1" t="s">
        <v>71</v>
      </c>
      <c r="B73" s="3">
        <v>1.5709986663966875E-3</v>
      </c>
    </row>
    <row r="74" spans="1:2" ht="23.25" customHeight="1" x14ac:dyDescent="0.25">
      <c r="A74" s="1" t="s">
        <v>72</v>
      </c>
      <c r="B74" s="3">
        <v>-5.1747695997099968E-2</v>
      </c>
    </row>
    <row r="75" spans="1:2" ht="23.25" customHeight="1" x14ac:dyDescent="0.25">
      <c r="A75" s="1" t="s">
        <v>73</v>
      </c>
      <c r="B75" s="3">
        <v>4.1985546561978414E-2</v>
      </c>
    </row>
    <row r="76" spans="1:2" ht="23.25" customHeight="1" x14ac:dyDescent="0.25">
      <c r="A76" s="1" t="s">
        <v>74</v>
      </c>
      <c r="B76" s="3">
        <v>2.4842310243131528E-2</v>
      </c>
    </row>
    <row r="77" spans="1:2" ht="23.25" customHeight="1" x14ac:dyDescent="0.25">
      <c r="A77" s="1" t="s">
        <v>75</v>
      </c>
      <c r="B77" s="3">
        <v>6.1746583594368562E-2</v>
      </c>
    </row>
    <row r="78" spans="1:2" ht="23.25" customHeight="1" x14ac:dyDescent="0.25">
      <c r="A78" s="1" t="s">
        <v>76</v>
      </c>
      <c r="B78" s="3">
        <v>0.10288281979458455</v>
      </c>
    </row>
    <row r="79" spans="1:2" ht="23.25" customHeight="1" x14ac:dyDescent="0.25">
      <c r="A79" s="1" t="s">
        <v>77</v>
      </c>
      <c r="B79" s="3">
        <v>2.5098329717621642E-2</v>
      </c>
    </row>
    <row r="80" spans="1:2" ht="23.25" customHeight="1" x14ac:dyDescent="0.25">
      <c r="A80" s="1" t="s">
        <v>78</v>
      </c>
      <c r="B80" s="3">
        <v>0.10878068364303745</v>
      </c>
    </row>
    <row r="81" spans="1:2" ht="23.25" customHeight="1" x14ac:dyDescent="0.25">
      <c r="A81" s="1" t="s">
        <v>79</v>
      </c>
      <c r="B81" s="3">
        <v>-3.1051017188494092E-2</v>
      </c>
    </row>
    <row r="82" spans="1:2" ht="23.25" customHeight="1" x14ac:dyDescent="0.25">
      <c r="A82" s="1" t="s">
        <v>80</v>
      </c>
      <c r="B82" s="3">
        <v>3.9098033353974937E-2</v>
      </c>
    </row>
    <row r="83" spans="1:2" ht="23.25" customHeight="1" x14ac:dyDescent="0.25">
      <c r="A83" s="1" t="s">
        <v>81</v>
      </c>
      <c r="B83" s="3">
        <v>6.0812338169413449E-2</v>
      </c>
    </row>
    <row r="84" spans="1:2" ht="23.25" customHeight="1" x14ac:dyDescent="0.25">
      <c r="A84" s="1" t="s">
        <v>82</v>
      </c>
      <c r="B84" s="3">
        <v>-7.6930527641232982E-2</v>
      </c>
    </row>
    <row r="85" spans="1:2" ht="23.25" customHeight="1" x14ac:dyDescent="0.25">
      <c r="A85" s="1" t="s">
        <v>83</v>
      </c>
      <c r="B85" s="3">
        <v>-4.6537250786987889E-3</v>
      </c>
    </row>
    <row r="86" spans="1:2" ht="23.25" customHeight="1" x14ac:dyDescent="0.25">
      <c r="A86" s="1" t="s">
        <v>84</v>
      </c>
      <c r="B86" s="3">
        <v>-0.14361166604291747</v>
      </c>
    </row>
    <row r="87" spans="1:2" ht="23.25" customHeight="1" x14ac:dyDescent="0.25">
      <c r="A87" s="1" t="s">
        <v>85</v>
      </c>
      <c r="B87" s="3">
        <v>5.3512076224240972E-2</v>
      </c>
    </row>
    <row r="88" spans="1:2" ht="23.25" customHeight="1" x14ac:dyDescent="0.25">
      <c r="A88" s="1" t="s">
        <v>86</v>
      </c>
      <c r="B88" s="3">
        <v>-4.4577651581541944E-3</v>
      </c>
    </row>
    <row r="89" spans="1:2" ht="23.25" customHeight="1" x14ac:dyDescent="0.25">
      <c r="A89" s="1" t="s">
        <v>87</v>
      </c>
      <c r="B89" s="3">
        <v>7.1291498189543376E-2</v>
      </c>
    </row>
    <row r="90" spans="1:2" ht="23.25" customHeight="1" x14ac:dyDescent="0.25">
      <c r="A90" s="1" t="s">
        <v>88</v>
      </c>
      <c r="B90" s="3">
        <v>1.454419957599958E-2</v>
      </c>
    </row>
    <row r="91" spans="1:2" ht="23.25" customHeight="1" x14ac:dyDescent="0.25">
      <c r="A91" s="1" t="s">
        <v>89</v>
      </c>
      <c r="B91" s="3">
        <v>-9.5625317221196271E-2</v>
      </c>
    </row>
    <row r="92" spans="1:2" ht="23.25" customHeight="1" x14ac:dyDescent="0.25">
      <c r="A92" s="1" t="s">
        <v>90</v>
      </c>
      <c r="B92" s="3">
        <v>-4.7912736130680866E-2</v>
      </c>
    </row>
    <row r="93" spans="1:2" ht="23.25" customHeight="1" x14ac:dyDescent="0.25">
      <c r="A93" s="1" t="s">
        <v>91</v>
      </c>
      <c r="B93" s="3">
        <v>-7.5520327089617326E-2</v>
      </c>
    </row>
    <row r="94" spans="1:2" ht="23.25" customHeight="1" x14ac:dyDescent="0.25">
      <c r="A94" s="1" t="s">
        <v>92</v>
      </c>
      <c r="B94" s="3">
        <v>-1.7758302583025874E-2</v>
      </c>
    </row>
    <row r="95" spans="1:2" ht="23.25" customHeight="1" x14ac:dyDescent="0.25">
      <c r="A95" s="1" t="s">
        <v>93</v>
      </c>
      <c r="B95" s="3">
        <v>-0.23134400508266234</v>
      </c>
    </row>
    <row r="96" spans="1:2" ht="23.25" customHeight="1" x14ac:dyDescent="0.25">
      <c r="A96" s="1" t="s">
        <v>94</v>
      </c>
      <c r="B96" s="3">
        <v>-3.3232709826963518E-2</v>
      </c>
    </row>
    <row r="97" spans="1:2" ht="23.25" customHeight="1" x14ac:dyDescent="0.25">
      <c r="A97" s="1" t="s">
        <v>95</v>
      </c>
      <c r="B97" s="3">
        <v>4.497848652968682E-2</v>
      </c>
    </row>
    <row r="98" spans="1:2" ht="23.25" customHeight="1" x14ac:dyDescent="0.25">
      <c r="A98" s="1" t="s">
        <v>96</v>
      </c>
      <c r="B98" s="3">
        <v>3.34735475379511E-2</v>
      </c>
    </row>
    <row r="99" spans="1:2" ht="23.25" customHeight="1" x14ac:dyDescent="0.25">
      <c r="A99" s="1" t="s">
        <v>97</v>
      </c>
      <c r="B99" s="3">
        <v>-8.5258710449096844E-2</v>
      </c>
    </row>
    <row r="100" spans="1:2" ht="23.25" customHeight="1" x14ac:dyDescent="0.25">
      <c r="A100" s="1" t="s">
        <v>98</v>
      </c>
      <c r="B100" s="3">
        <v>0.1347374956492291</v>
      </c>
    </row>
    <row r="101" spans="1:2" ht="23.25" customHeight="1" x14ac:dyDescent="0.25">
      <c r="A101" s="1" t="s">
        <v>99</v>
      </c>
      <c r="B101" s="3">
        <v>0.13521131431034761</v>
      </c>
    </row>
    <row r="102" spans="1:2" ht="23.25" customHeight="1" x14ac:dyDescent="0.25">
      <c r="A102" s="1" t="s">
        <v>100</v>
      </c>
      <c r="B102" s="3">
        <v>1.9374014137991617E-2</v>
      </c>
    </row>
    <row r="103" spans="1:2" ht="23.25" customHeight="1" x14ac:dyDescent="0.25">
      <c r="A103" s="1" t="s">
        <v>101</v>
      </c>
      <c r="B103" s="3">
        <v>-4.1693829743032502E-3</v>
      </c>
    </row>
    <row r="104" spans="1:2" ht="23.25" customHeight="1" x14ac:dyDescent="0.25">
      <c r="A104" s="1" t="s">
        <v>102</v>
      </c>
      <c r="B104" s="3">
        <v>0.12029610019639302</v>
      </c>
    </row>
    <row r="105" spans="1:2" ht="23.25" customHeight="1" x14ac:dyDescent="0.25">
      <c r="A105" s="1" t="s">
        <v>103</v>
      </c>
      <c r="B105" s="3">
        <v>2.2192398333001524E-2</v>
      </c>
    </row>
    <row r="106" spans="1:2" ht="23.25" customHeight="1" x14ac:dyDescent="0.25">
      <c r="A106" s="1" t="s">
        <v>104</v>
      </c>
      <c r="B106" s="3">
        <v>5.1066369318717338E-2</v>
      </c>
    </row>
    <row r="107" spans="1:2" ht="23.25" customHeight="1" x14ac:dyDescent="0.25">
      <c r="A107" s="1" t="s">
        <v>105</v>
      </c>
      <c r="B107" s="3">
        <v>-5.5255388072725557E-2</v>
      </c>
    </row>
    <row r="108" spans="1:2" ht="23.25" customHeight="1" x14ac:dyDescent="0.25">
      <c r="A108" s="1" t="s">
        <v>106</v>
      </c>
      <c r="B108" s="3">
        <v>-1.5872815036471505E-2</v>
      </c>
    </row>
    <row r="109" spans="1:2" ht="23.25" customHeight="1" x14ac:dyDescent="0.25">
      <c r="A109" s="1" t="s">
        <v>107</v>
      </c>
      <c r="B109" s="3">
        <v>8.1749807148367243E-2</v>
      </c>
    </row>
    <row r="110" spans="1:2" ht="23.25" customHeight="1" x14ac:dyDescent="0.25">
      <c r="A110" s="1" t="s">
        <v>108</v>
      </c>
      <c r="B110" s="3">
        <v>-4.7742709936592596E-2</v>
      </c>
    </row>
    <row r="111" spans="1:2" ht="23.25" customHeight="1" x14ac:dyDescent="0.25">
      <c r="A111" s="1" t="s">
        <v>109</v>
      </c>
      <c r="B111" s="3">
        <v>-4.8988099324152297E-3</v>
      </c>
    </row>
    <row r="112" spans="1:2" ht="23.25" customHeight="1" x14ac:dyDescent="0.25">
      <c r="A112" s="1" t="s">
        <v>110</v>
      </c>
      <c r="B112" s="3">
        <v>6.1627513200968272E-2</v>
      </c>
    </row>
    <row r="113" spans="1:2" ht="23.25" customHeight="1" x14ac:dyDescent="0.25">
      <c r="A113" s="1" t="s">
        <v>111</v>
      </c>
      <c r="B113" s="3">
        <v>2.8773961071565726E-2</v>
      </c>
    </row>
    <row r="114" spans="1:2" ht="23.25" customHeight="1" x14ac:dyDescent="0.25">
      <c r="A114" s="1" t="s">
        <v>112</v>
      </c>
      <c r="B114" s="3">
        <v>-5.7597785893107302E-2</v>
      </c>
    </row>
    <row r="115" spans="1:2" ht="23.25" customHeight="1" x14ac:dyDescent="0.25">
      <c r="A115" s="1" t="s">
        <v>113</v>
      </c>
      <c r="B115" s="3">
        <v>3.4753998476770735E-2</v>
      </c>
    </row>
    <row r="116" spans="1:2" ht="23.25" customHeight="1" x14ac:dyDescent="0.25">
      <c r="A116" s="1" t="s">
        <v>114</v>
      </c>
      <c r="B116" s="3">
        <v>3.5942035812493722E-2</v>
      </c>
    </row>
    <row r="117" spans="1:2" ht="23.25" customHeight="1" x14ac:dyDescent="0.25">
      <c r="A117" s="1" t="s">
        <v>115</v>
      </c>
      <c r="B117" s="3">
        <v>-9.4240421069383962E-3</v>
      </c>
    </row>
    <row r="118" spans="1:2" ht="23.25" customHeight="1" x14ac:dyDescent="0.25">
      <c r="A118" s="1" t="s">
        <v>116</v>
      </c>
      <c r="B118" s="3">
        <v>7.4629178023239096E-2</v>
      </c>
    </row>
    <row r="119" spans="1:2" ht="23.25" customHeight="1" x14ac:dyDescent="0.25">
      <c r="A119" s="1" t="s">
        <v>117</v>
      </c>
      <c r="B119" s="3">
        <v>5.4143239303507031E-3</v>
      </c>
    </row>
    <row r="120" spans="1:2" ht="23.25" customHeight="1" x14ac:dyDescent="0.25">
      <c r="A120" s="1" t="s">
        <v>118</v>
      </c>
      <c r="B120" s="3">
        <v>1.1513847951352964E-2</v>
      </c>
    </row>
    <row r="121" spans="1:2" ht="23.25" customHeight="1" x14ac:dyDescent="0.25">
      <c r="A121" s="1" t="s">
        <v>119</v>
      </c>
      <c r="B121" s="3">
        <v>7.6849571832849364E-2</v>
      </c>
    </row>
    <row r="122" spans="1:2" ht="23.25" customHeight="1" x14ac:dyDescent="0.25">
      <c r="A122" s="1" t="s">
        <v>120</v>
      </c>
      <c r="B122" s="3">
        <v>9.1321306679668542E-3</v>
      </c>
    </row>
    <row r="123" spans="1:2" ht="23.25" customHeight="1" x14ac:dyDescent="0.25">
      <c r="A123" s="1" t="s">
        <v>121</v>
      </c>
      <c r="B123" s="3">
        <v>-6.3017881559430486E-2</v>
      </c>
    </row>
    <row r="124" spans="1:2" ht="23.25" customHeight="1" x14ac:dyDescent="0.25">
      <c r="A124" s="1" t="s">
        <v>122</v>
      </c>
      <c r="B124" s="3">
        <v>8.631980611560866E-2</v>
      </c>
    </row>
    <row r="125" spans="1:2" ht="23.25" customHeight="1" x14ac:dyDescent="0.25">
      <c r="A125" s="1" t="s">
        <v>123</v>
      </c>
      <c r="B125" s="3">
        <v>4.0660749038781183E-2</v>
      </c>
    </row>
    <row r="126" spans="1:2" ht="23.25" customHeight="1" x14ac:dyDescent="0.25">
      <c r="A126" s="1" t="s">
        <v>124</v>
      </c>
      <c r="B126" s="3">
        <v>-2.2756299147950302E-2</v>
      </c>
    </row>
    <row r="127" spans="1:2" ht="23.25" customHeight="1" x14ac:dyDescent="0.25">
      <c r="A127" s="1" t="s">
        <v>125</v>
      </c>
      <c r="B127" s="3">
        <v>-1.9500856488072062E-2</v>
      </c>
    </row>
    <row r="128" spans="1:2" ht="23.25" customHeight="1" x14ac:dyDescent="0.25">
      <c r="A128" s="1" t="s">
        <v>126</v>
      </c>
      <c r="B128" s="3">
        <v>1.5480627793724911E-2</v>
      </c>
    </row>
    <row r="129" spans="1:2" ht="23.25" customHeight="1" x14ac:dyDescent="0.25">
      <c r="A129" s="1" t="s">
        <v>127</v>
      </c>
      <c r="B129" s="3">
        <v>-0.1186474843076866</v>
      </c>
    </row>
    <row r="130" spans="1:2" ht="23.25" customHeight="1" x14ac:dyDescent="0.25">
      <c r="A130" s="1" t="s">
        <v>128</v>
      </c>
      <c r="B130" s="3">
        <v>-5.8751881538846036E-2</v>
      </c>
    </row>
    <row r="131" spans="1:2" ht="23.25" customHeight="1" x14ac:dyDescent="0.25">
      <c r="A131" s="1" t="s">
        <v>129</v>
      </c>
      <c r="B131" s="3">
        <v>7.8761336987539843E-2</v>
      </c>
    </row>
    <row r="132" spans="1:2" ht="23.25" customHeight="1" x14ac:dyDescent="0.25">
      <c r="A132" s="1" t="s">
        <v>130</v>
      </c>
      <c r="B132" s="3">
        <v>-3.2225790060920981E-2</v>
      </c>
    </row>
    <row r="133" spans="1:2" ht="23.25" customHeight="1" x14ac:dyDescent="0.25">
      <c r="A133" s="1" t="s">
        <v>131</v>
      </c>
      <c r="B133" s="3">
        <v>-1.1783427423938156E-2</v>
      </c>
    </row>
    <row r="134" spans="1:2" ht="23.25" customHeight="1" x14ac:dyDescent="0.25">
      <c r="A134" s="1" t="s">
        <v>132</v>
      </c>
      <c r="B134" s="3">
        <v>7.1231391107167474E-2</v>
      </c>
    </row>
    <row r="135" spans="1:2" ht="23.25" customHeight="1" x14ac:dyDescent="0.25">
      <c r="A135" s="1" t="s">
        <v>133</v>
      </c>
      <c r="B135" s="3">
        <v>3.8071572101299238E-2</v>
      </c>
    </row>
    <row r="136" spans="1:2" ht="23.25" customHeight="1" x14ac:dyDescent="0.25">
      <c r="A136" s="1" t="s">
        <v>134</v>
      </c>
      <c r="B136" s="3">
        <v>-7.9842383942864362E-3</v>
      </c>
    </row>
    <row r="137" spans="1:2" ht="23.25" customHeight="1" x14ac:dyDescent="0.25">
      <c r="A137" s="1" t="s">
        <v>135</v>
      </c>
      <c r="B137" s="3">
        <v>-1.5913288713233081E-2</v>
      </c>
    </row>
    <row r="138" spans="1:2" ht="23.25" customHeight="1" x14ac:dyDescent="0.25">
      <c r="A138" s="1" t="s">
        <v>136</v>
      </c>
      <c r="B138" s="3">
        <v>-6.9889353629433035E-2</v>
      </c>
    </row>
    <row r="139" spans="1:2" ht="23.25" customHeight="1" x14ac:dyDescent="0.25">
      <c r="A139" s="1" t="s">
        <v>137</v>
      </c>
      <c r="B139" s="3">
        <v>5.7174784509647367E-3</v>
      </c>
    </row>
    <row r="140" spans="1:2" ht="23.25" customHeight="1" x14ac:dyDescent="0.25">
      <c r="A140" s="1" t="s">
        <v>138</v>
      </c>
      <c r="B140" s="3">
        <v>1.5091612235101222E-2</v>
      </c>
    </row>
    <row r="141" spans="1:2" ht="23.25" customHeight="1" x14ac:dyDescent="0.25">
      <c r="A141" s="1" t="s">
        <v>139</v>
      </c>
      <c r="B141" s="3">
        <v>1.229018220075552E-2</v>
      </c>
    </row>
    <row r="142" spans="1:2" ht="23.25" customHeight="1" x14ac:dyDescent="0.25">
      <c r="A142" s="1" t="s">
        <v>140</v>
      </c>
      <c r="B142" s="3">
        <v>4.7813261106911982E-2</v>
      </c>
    </row>
    <row r="143" spans="1:2" ht="23.25" customHeight="1" x14ac:dyDescent="0.25">
      <c r="A143" s="1" t="s">
        <v>141</v>
      </c>
      <c r="B143" s="3">
        <v>-4.2154883504240584E-2</v>
      </c>
    </row>
    <row r="144" spans="1:2" ht="23.25" customHeight="1" x14ac:dyDescent="0.25">
      <c r="A144" s="1" t="s">
        <v>142</v>
      </c>
      <c r="B144" s="3">
        <v>1.0899239563612098E-2</v>
      </c>
    </row>
    <row r="145" spans="1:2" ht="23.25" customHeight="1" x14ac:dyDescent="0.25">
      <c r="A145" s="1" t="s">
        <v>143</v>
      </c>
      <c r="B145" s="3">
        <v>3.3188473278493384E-2</v>
      </c>
    </row>
    <row r="146" spans="1:2" ht="23.25" customHeight="1" x14ac:dyDescent="0.25">
      <c r="A146" s="1" t="s">
        <v>144</v>
      </c>
      <c r="B146" s="3">
        <v>-1.7580931874514861E-2</v>
      </c>
    </row>
    <row r="147" spans="1:2" ht="23.25" customHeight="1" x14ac:dyDescent="0.25">
      <c r="A147" s="1" t="s">
        <v>145</v>
      </c>
      <c r="B147" s="3">
        <v>3.290110808689356E-2</v>
      </c>
    </row>
    <row r="148" spans="1:2" ht="23.25" customHeight="1" x14ac:dyDescent="0.25">
      <c r="A148" s="1" t="s">
        <v>146</v>
      </c>
      <c r="B148" s="3">
        <v>-1.0658823877739297E-2</v>
      </c>
    </row>
    <row r="149" spans="1:2" ht="23.25" customHeight="1" x14ac:dyDescent="0.25">
      <c r="A149" s="1" t="s">
        <v>147</v>
      </c>
      <c r="B149" s="3">
        <v>-2.0420072921706455E-2</v>
      </c>
    </row>
    <row r="150" spans="1:2" ht="23.25" customHeight="1" x14ac:dyDescent="0.25">
      <c r="A150" s="1" t="s">
        <v>148</v>
      </c>
      <c r="B150" s="3">
        <v>1.8890501285674231E-2</v>
      </c>
    </row>
    <row r="151" spans="1:2" ht="23.25" customHeight="1" x14ac:dyDescent="0.25">
      <c r="A151" s="1" t="s">
        <v>149</v>
      </c>
      <c r="B151" s="3">
        <v>-6.8828864845955878E-2</v>
      </c>
    </row>
    <row r="152" spans="1:2" ht="23.25" customHeight="1" x14ac:dyDescent="0.25">
      <c r="A152" s="1" t="s">
        <v>150</v>
      </c>
      <c r="B152" s="3">
        <v>2.7214863791511945E-2</v>
      </c>
    </row>
    <row r="153" spans="1:2" ht="23.25" customHeight="1" x14ac:dyDescent="0.25">
      <c r="A153" s="1" t="s">
        <v>151</v>
      </c>
      <c r="B153" s="3">
        <v>6.4419052992899422E-3</v>
      </c>
    </row>
    <row r="154" spans="1:2" ht="23.25" customHeight="1" x14ac:dyDescent="0.25">
      <c r="A154" s="1" t="s">
        <v>152</v>
      </c>
      <c r="B154" s="3">
        <v>3.6649432089536818E-2</v>
      </c>
    </row>
    <row r="155" spans="1:2" ht="23.25" customHeight="1" x14ac:dyDescent="0.25">
      <c r="A155" s="1" t="s">
        <v>153</v>
      </c>
      <c r="B155" s="3">
        <v>1.6590217130037596E-2</v>
      </c>
    </row>
    <row r="156" spans="1:2" ht="23.25" customHeight="1" x14ac:dyDescent="0.25">
      <c r="A156" s="1" t="s">
        <v>154</v>
      </c>
      <c r="B156" s="3">
        <v>7.2804653980857864E-3</v>
      </c>
    </row>
    <row r="157" spans="1:2" ht="23.25" customHeight="1" x14ac:dyDescent="0.25">
      <c r="A157" s="1" t="s">
        <v>155</v>
      </c>
      <c r="B157" s="3">
        <v>-1.639713037992634E-2</v>
      </c>
    </row>
    <row r="158" spans="1:2" ht="23.25" customHeight="1" x14ac:dyDescent="0.25">
      <c r="A158" s="1" t="s">
        <v>156</v>
      </c>
      <c r="B158" s="3">
        <v>-3.4897133254447196E-2</v>
      </c>
    </row>
    <row r="159" spans="1:2" ht="23.25" customHeight="1" x14ac:dyDescent="0.25">
      <c r="A159" s="1" t="s">
        <v>157</v>
      </c>
      <c r="B159" s="3">
        <v>2.0008757695180648E-2</v>
      </c>
    </row>
    <row r="160" spans="1:2" ht="23.25" customHeight="1" x14ac:dyDescent="0.25">
      <c r="A160" s="1" t="s">
        <v>158</v>
      </c>
      <c r="B160" s="3">
        <v>2.8383981737280951E-3</v>
      </c>
    </row>
    <row r="161" spans="1:2" ht="23.25" customHeight="1" x14ac:dyDescent="0.25">
      <c r="A161" s="1" t="s">
        <v>159</v>
      </c>
      <c r="B161" s="3">
        <v>-1.1996313475455874E-2</v>
      </c>
    </row>
    <row r="162" spans="1:2" ht="23.25" customHeight="1" x14ac:dyDescent="0.25">
      <c r="A162" s="1" t="s">
        <v>160</v>
      </c>
      <c r="B162" s="3">
        <v>1.6908027872504231E-2</v>
      </c>
    </row>
    <row r="163" spans="1:2" ht="23.25" customHeight="1" x14ac:dyDescent="0.25">
      <c r="A163" s="1" t="s">
        <v>161</v>
      </c>
      <c r="B163" s="3">
        <v>3.6341580783574609E-3</v>
      </c>
    </row>
    <row r="164" spans="1:2" ht="23.25" customHeight="1" x14ac:dyDescent="0.25">
      <c r="A164" s="1" t="s">
        <v>162</v>
      </c>
      <c r="B164" s="3">
        <v>3.6914209798172948E-2</v>
      </c>
    </row>
    <row r="165" spans="1:2" ht="23.25" customHeight="1" x14ac:dyDescent="0.25">
      <c r="A165" s="1" t="s">
        <v>163</v>
      </c>
      <c r="B165" s="3">
        <v>-3.6510413656243028E-3</v>
      </c>
    </row>
    <row r="166" spans="1:2" ht="23.25" customHeight="1" x14ac:dyDescent="0.25">
      <c r="A166" s="1" t="s">
        <v>164</v>
      </c>
      <c r="B166" s="3">
        <v>-2.3422317189902078E-2</v>
      </c>
    </row>
    <row r="167" spans="1:2" ht="23.25" customHeight="1" x14ac:dyDescent="0.25">
      <c r="A167" s="1" t="s">
        <v>165</v>
      </c>
      <c r="B167" s="3">
        <v>-2.7553227826482906E-2</v>
      </c>
    </row>
    <row r="168" spans="1:2" ht="23.25" customHeight="1" x14ac:dyDescent="0.25">
      <c r="A168" s="1" t="s">
        <v>166</v>
      </c>
      <c r="B168" s="3">
        <v>8.3230249996181626E-3</v>
      </c>
    </row>
    <row r="169" spans="1:2" ht="23.25" customHeight="1" x14ac:dyDescent="0.25">
      <c r="A169" s="1" t="s">
        <v>167</v>
      </c>
      <c r="B169" s="3">
        <v>-3.2911277375579348E-2</v>
      </c>
    </row>
    <row r="170" spans="1:2" ht="23.25" customHeight="1" x14ac:dyDescent="0.25">
      <c r="A170" s="1" t="s">
        <v>168</v>
      </c>
      <c r="B170" s="3">
        <v>1.7576830115003772E-2</v>
      </c>
    </row>
    <row r="171" spans="1:2" ht="23.25" customHeight="1" x14ac:dyDescent="0.25">
      <c r="A171" s="1" t="s">
        <v>169</v>
      </c>
      <c r="B171" s="3">
        <v>1.8745575243938706E-2</v>
      </c>
    </row>
    <row r="172" spans="1:2" ht="23.25" customHeight="1" x14ac:dyDescent="0.25">
      <c r="A172" s="1" t="s">
        <v>170</v>
      </c>
      <c r="B172" s="3">
        <v>2.7812468526538434E-2</v>
      </c>
    </row>
    <row r="173" spans="1:2" ht="23.25" customHeight="1" x14ac:dyDescent="0.25">
      <c r="A173" s="1" t="s">
        <v>171</v>
      </c>
      <c r="B173" s="3">
        <v>4.2204181222226085E-2</v>
      </c>
    </row>
    <row r="174" spans="1:2" ht="23.25" customHeight="1" x14ac:dyDescent="0.25">
      <c r="A174" s="1" t="s">
        <v>172</v>
      </c>
      <c r="B174" s="3">
        <v>-5.8152380862836021E-3</v>
      </c>
    </row>
    <row r="175" spans="1:2" ht="23.25" customHeight="1" x14ac:dyDescent="0.25">
      <c r="A175" s="1" t="s">
        <v>173</v>
      </c>
      <c r="B175" s="3">
        <v>-1.9198032910913734E-2</v>
      </c>
    </row>
    <row r="176" spans="1:2" ht="23.25" customHeight="1" x14ac:dyDescent="0.25">
      <c r="A176" s="1" t="s">
        <v>174</v>
      </c>
      <c r="B176" s="3">
        <v>-2.1232282325715814E-2</v>
      </c>
    </row>
    <row r="177" spans="1:2" ht="23.25" customHeight="1" x14ac:dyDescent="0.25">
      <c r="A177" s="1" t="s">
        <v>175</v>
      </c>
      <c r="B177" s="3">
        <v>-4.3676360483902783E-2</v>
      </c>
    </row>
    <row r="178" spans="1:2" ht="23.25" customHeight="1" x14ac:dyDescent="0.25">
      <c r="A178" s="1" t="s">
        <v>176</v>
      </c>
      <c r="B178" s="3">
        <v>1.0981256663696407E-2</v>
      </c>
    </row>
    <row r="179" spans="1:2" ht="23.25" customHeight="1" x14ac:dyDescent="0.25">
      <c r="A179" s="1" t="s">
        <v>177</v>
      </c>
      <c r="B179" s="3">
        <v>3.3961514359515228E-2</v>
      </c>
    </row>
    <row r="180" spans="1:2" ht="23.25" customHeight="1" x14ac:dyDescent="0.25">
      <c r="A180" s="1" t="s">
        <v>178</v>
      </c>
      <c r="B180" s="3">
        <v>-1.8477730639033838E-2</v>
      </c>
    </row>
    <row r="181" spans="1:2" ht="23.25" customHeight="1" x14ac:dyDescent="0.25">
      <c r="A181" s="1" t="s">
        <v>179</v>
      </c>
      <c r="B181" s="3">
        <v>-1.5391798069248072E-2</v>
      </c>
    </row>
    <row r="182" spans="1:2" ht="23.25" customHeight="1" x14ac:dyDescent="0.25">
      <c r="A182" s="1" t="s">
        <v>180</v>
      </c>
      <c r="B182" s="3">
        <v>-2.5110767803151975E-2</v>
      </c>
    </row>
    <row r="183" spans="1:2" ht="23.25" customHeight="1" x14ac:dyDescent="0.25">
      <c r="A183" s="1" t="s">
        <v>181</v>
      </c>
      <c r="B183" s="3">
        <v>2.4057822453271011E-3</v>
      </c>
    </row>
    <row r="184" spans="1:2" ht="23.25" customHeight="1" x14ac:dyDescent="0.25">
      <c r="A184" s="1" t="s">
        <v>182</v>
      </c>
      <c r="B184" s="3">
        <v>4.1316665449271033E-2</v>
      </c>
    </row>
    <row r="185" spans="1:2" ht="23.25" customHeight="1" x14ac:dyDescent="0.25">
      <c r="A185" s="1" t="s">
        <v>183</v>
      </c>
      <c r="B185" s="3">
        <v>-8.5176741739099537E-4</v>
      </c>
    </row>
    <row r="186" spans="1:2" ht="23.25" customHeight="1" x14ac:dyDescent="0.25">
      <c r="A186" s="1" t="s">
        <v>184</v>
      </c>
      <c r="B186" s="3">
        <v>-5.3907679963894391E-3</v>
      </c>
    </row>
    <row r="187" spans="1:2" ht="23.25" customHeight="1" x14ac:dyDescent="0.25">
      <c r="A187" s="1" t="s">
        <v>185</v>
      </c>
      <c r="B187" s="3">
        <v>-6.5796107693859946E-3</v>
      </c>
    </row>
    <row r="188" spans="1:2" ht="23.25" customHeight="1" x14ac:dyDescent="0.25">
      <c r="A188" s="1" t="s">
        <v>186</v>
      </c>
      <c r="B188" s="3">
        <v>2.3264902174740604E-2</v>
      </c>
    </row>
    <row r="189" spans="1:2" ht="23.25" customHeight="1" x14ac:dyDescent="0.25">
      <c r="A189" s="1" t="s">
        <v>187</v>
      </c>
      <c r="B189" s="3">
        <v>9.1558831260942844E-3</v>
      </c>
    </row>
    <row r="190" spans="1:2" ht="23.25" customHeight="1" x14ac:dyDescent="0.25">
      <c r="A190" s="1" t="s">
        <v>188</v>
      </c>
      <c r="B190" s="3">
        <v>4.4135354975057221E-3</v>
      </c>
    </row>
    <row r="191" spans="1:2" ht="23.25" customHeight="1" x14ac:dyDescent="0.25">
      <c r="A191" s="1" t="s">
        <v>189</v>
      </c>
      <c r="B191" s="3">
        <v>-1.7341691010603705E-2</v>
      </c>
    </row>
    <row r="192" spans="1:2" ht="23.25" customHeight="1" x14ac:dyDescent="0.25">
      <c r="A192" s="1" t="s">
        <v>190</v>
      </c>
      <c r="B192" s="3">
        <v>-1.2304612611356514E-2</v>
      </c>
    </row>
    <row r="193" spans="1:2" ht="23.25" customHeight="1" x14ac:dyDescent="0.25">
      <c r="A193" s="1" t="s">
        <v>191</v>
      </c>
      <c r="B193" s="3">
        <v>2.1668985822897138E-2</v>
      </c>
    </row>
    <row r="194" spans="1:2" ht="23.25" customHeight="1" x14ac:dyDescent="0.25">
      <c r="A194" s="1" t="s">
        <v>192</v>
      </c>
      <c r="B194" s="3">
        <v>2.0286608173859896E-2</v>
      </c>
    </row>
    <row r="195" spans="1:2" ht="23.25" customHeight="1" x14ac:dyDescent="0.25">
      <c r="A195" s="1" t="s">
        <v>193</v>
      </c>
      <c r="B195" s="3">
        <v>1.1641685650304321E-2</v>
      </c>
    </row>
    <row r="196" spans="1:2" ht="23.25" customHeight="1" x14ac:dyDescent="0.25">
      <c r="A196" s="1" t="s">
        <v>194</v>
      </c>
      <c r="B196" s="3">
        <v>3.279244994358501E-2</v>
      </c>
    </row>
    <row r="197" spans="1:2" ht="23.25" customHeight="1" x14ac:dyDescent="0.25">
      <c r="A197" s="1" t="s">
        <v>195</v>
      </c>
      <c r="B197" s="3">
        <v>2.0928327076283559E-2</v>
      </c>
    </row>
    <row r="198" spans="1:2" ht="23.25" customHeight="1" x14ac:dyDescent="0.25">
      <c r="A198" s="1" t="s">
        <v>196</v>
      </c>
      <c r="B198" s="3">
        <v>6.435903946604761E-2</v>
      </c>
    </row>
    <row r="199" spans="1:2" ht="23.25" customHeight="1" x14ac:dyDescent="0.25">
      <c r="A199" s="1" t="s">
        <v>197</v>
      </c>
      <c r="B199" s="3">
        <v>1.8918964973715313E-2</v>
      </c>
    </row>
    <row r="200" spans="1:2" ht="23.25" customHeight="1" x14ac:dyDescent="0.25">
      <c r="A200" s="1" t="s">
        <v>198</v>
      </c>
      <c r="B200" s="3">
        <v>4.5656182189908285E-3</v>
      </c>
    </row>
    <row r="201" spans="1:2" ht="23.25" customHeight="1" x14ac:dyDescent="0.25">
      <c r="A201" s="1" t="s">
        <v>199</v>
      </c>
      <c r="B201" s="3">
        <v>-1.6448094027160989E-2</v>
      </c>
    </row>
    <row r="202" spans="1:2" ht="23.25" customHeight="1" x14ac:dyDescent="0.25">
      <c r="A202" s="1" t="s">
        <v>200</v>
      </c>
      <c r="B202" s="3">
        <v>1.3236345786838868E-2</v>
      </c>
    </row>
    <row r="203" spans="1:2" ht="23.25" customHeight="1" x14ac:dyDescent="0.25">
      <c r="A203" s="1" t="s">
        <v>201</v>
      </c>
      <c r="B203" s="3">
        <v>5.3857429827895126E-2</v>
      </c>
    </row>
    <row r="204" spans="1:2" ht="23.25" customHeight="1" x14ac:dyDescent="0.25">
      <c r="A204" s="1" t="s">
        <v>202</v>
      </c>
      <c r="B204" s="3">
        <v>-1.8649219514708135E-2</v>
      </c>
    </row>
    <row r="205" spans="1:2" ht="23.25" customHeight="1" x14ac:dyDescent="0.25">
      <c r="A205" s="1" t="s">
        <v>203</v>
      </c>
      <c r="B205" s="3">
        <v>-3.5858938688483988E-3</v>
      </c>
    </row>
    <row r="206" spans="1:2" ht="23.25" customHeight="1" x14ac:dyDescent="0.25">
      <c r="A206" s="1" t="s">
        <v>204</v>
      </c>
      <c r="B206" s="3">
        <v>4.0109585043911128E-2</v>
      </c>
    </row>
    <row r="207" spans="1:2" ht="23.25" customHeight="1" x14ac:dyDescent="0.25">
      <c r="A207" s="1" t="s">
        <v>205</v>
      </c>
      <c r="B207" s="3">
        <v>-5.4199169283760472E-2</v>
      </c>
    </row>
    <row r="208" spans="1:2" ht="23.25" customHeight="1" x14ac:dyDescent="0.25">
      <c r="A208" s="1" t="s">
        <v>206</v>
      </c>
      <c r="B208" s="3">
        <v>7.6173291147583304E-3</v>
      </c>
    </row>
    <row r="209" spans="1:2" ht="23.25" customHeight="1" x14ac:dyDescent="0.25">
      <c r="A209" s="1" t="s">
        <v>207</v>
      </c>
      <c r="B209" s="3">
        <v>2.8427744955741442E-2</v>
      </c>
    </row>
    <row r="210" spans="1:2" ht="23.25" customHeight="1" x14ac:dyDescent="0.25">
      <c r="A210" s="1" t="s">
        <v>208</v>
      </c>
      <c r="B210" s="3">
        <v>-3.6722085728597621E-2</v>
      </c>
    </row>
    <row r="211" spans="1:2" ht="23.25" customHeight="1" x14ac:dyDescent="0.25">
      <c r="A211" s="1" t="s">
        <v>209</v>
      </c>
      <c r="B211" s="3">
        <v>-3.9983326523621486E-2</v>
      </c>
    </row>
    <row r="212" spans="1:2" ht="23.25" customHeight="1" x14ac:dyDescent="0.25">
      <c r="A212" s="1" t="s">
        <v>210</v>
      </c>
      <c r="B212" s="3">
        <v>-1.3270969378323606E-2</v>
      </c>
    </row>
    <row r="213" spans="1:2" ht="23.25" customHeight="1" x14ac:dyDescent="0.25">
      <c r="A213" s="1" t="s">
        <v>211</v>
      </c>
      <c r="B213" s="3">
        <v>1.2033495116021666E-2</v>
      </c>
    </row>
    <row r="214" spans="1:2" ht="23.25" customHeight="1" x14ac:dyDescent="0.25">
      <c r="A214" s="1" t="s">
        <v>212</v>
      </c>
      <c r="B214" s="3">
        <v>8.6917963906874458E-3</v>
      </c>
    </row>
    <row r="215" spans="1:2" ht="23.25" customHeight="1" x14ac:dyDescent="0.25">
      <c r="A215" s="1" t="s">
        <v>213</v>
      </c>
      <c r="B215" s="3">
        <v>-0.13374760463835911</v>
      </c>
    </row>
    <row r="216" spans="1:2" ht="23.25" customHeight="1" x14ac:dyDescent="0.25">
      <c r="A216" s="1" t="s">
        <v>214</v>
      </c>
      <c r="B216" s="3">
        <v>3.3093723672087891E-2</v>
      </c>
    </row>
    <row r="217" spans="1:2" ht="23.25" customHeight="1" x14ac:dyDescent="0.25">
      <c r="A217" s="1" t="s">
        <v>215</v>
      </c>
      <c r="B217" s="3">
        <v>-2.6620756750569977E-2</v>
      </c>
    </row>
    <row r="218" spans="1:2" ht="23.25" customHeight="1" x14ac:dyDescent="0.25">
      <c r="A218" s="1" t="s">
        <v>216</v>
      </c>
      <c r="B218" s="3">
        <v>8.0258103711833159E-2</v>
      </c>
    </row>
    <row r="219" spans="1:2" ht="23.25" customHeight="1" x14ac:dyDescent="0.25">
      <c r="A219" s="1" t="s">
        <v>217</v>
      </c>
      <c r="B219" s="3">
        <v>-4.2678640270312519E-3</v>
      </c>
    </row>
    <row r="220" spans="1:2" ht="23.25" customHeight="1" x14ac:dyDescent="0.25">
      <c r="A220" s="1" t="s">
        <v>218</v>
      </c>
      <c r="B220" s="3">
        <v>-2.4947163211019193E-2</v>
      </c>
    </row>
    <row r="221" spans="1:2" ht="23.25" customHeight="1" x14ac:dyDescent="0.25">
      <c r="A221" s="1" t="s">
        <v>219</v>
      </c>
      <c r="B221" s="3">
        <v>2.9392666781895421E-2</v>
      </c>
    </row>
    <row r="222" spans="1:2" ht="23.25" customHeight="1" x14ac:dyDescent="0.25">
      <c r="A222" s="1" t="s">
        <v>220</v>
      </c>
      <c r="B222" s="3">
        <v>-7.3448327501940067E-2</v>
      </c>
    </row>
    <row r="223" spans="1:2" ht="23.25" customHeight="1" x14ac:dyDescent="0.25">
      <c r="A223" s="1" t="s">
        <v>221</v>
      </c>
      <c r="B223" s="3">
        <v>4.3531497644166195E-2</v>
      </c>
    </row>
    <row r="224" spans="1:2" ht="23.25" customHeight="1" x14ac:dyDescent="0.25">
      <c r="A224" s="1" t="s">
        <v>222</v>
      </c>
      <c r="B224" s="3">
        <v>-4.9783631055749004E-2</v>
      </c>
    </row>
    <row r="225" spans="1:2" ht="23.25" customHeight="1" x14ac:dyDescent="0.25">
      <c r="A225" s="1" t="s">
        <v>223</v>
      </c>
      <c r="B225" s="3">
        <v>-2.8035859820700892E-2</v>
      </c>
    </row>
    <row r="226" spans="1:2" ht="23.25" customHeight="1" x14ac:dyDescent="0.25">
      <c r="A226" s="1" t="s">
        <v>224</v>
      </c>
      <c r="B226" s="3">
        <v>4.8409637207222425E-2</v>
      </c>
    </row>
    <row r="227" spans="1:2" ht="23.25" customHeight="1" x14ac:dyDescent="0.25">
      <c r="A227" s="1" t="s">
        <v>225</v>
      </c>
      <c r="B227" s="3">
        <v>9.9028137951091035E-3</v>
      </c>
    </row>
    <row r="228" spans="1:2" ht="23.25" customHeight="1" x14ac:dyDescent="0.25">
      <c r="A228" s="1" t="s">
        <v>226</v>
      </c>
      <c r="B228" s="3">
        <v>2.150248622496985E-3</v>
      </c>
    </row>
    <row r="229" spans="1:2" ht="23.25" customHeight="1" x14ac:dyDescent="0.25">
      <c r="A229" s="1" t="s">
        <v>227</v>
      </c>
      <c r="B229" s="3">
        <v>5.2544110040422247E-2</v>
      </c>
    </row>
    <row r="230" spans="1:2" ht="23.25" customHeight="1" x14ac:dyDescent="0.25">
      <c r="A230" s="1" t="s">
        <v>228</v>
      </c>
      <c r="B230" s="3">
        <v>-3.5792452916042834E-2</v>
      </c>
    </row>
    <row r="231" spans="1:2" ht="23.25" customHeight="1" x14ac:dyDescent="0.25">
      <c r="A231" s="1" t="s">
        <v>229</v>
      </c>
      <c r="B231" s="3">
        <v>-6.2293240711464415E-2</v>
      </c>
    </row>
    <row r="232" spans="1:2" ht="23.25" customHeight="1" x14ac:dyDescent="0.25">
      <c r="A232" s="1" t="s">
        <v>230</v>
      </c>
      <c r="B232" s="3">
        <v>-0.11694455488397135</v>
      </c>
    </row>
    <row r="233" spans="1:2" ht="23.25" customHeight="1" x14ac:dyDescent="0.25">
      <c r="A233" s="1" t="s">
        <v>231</v>
      </c>
      <c r="B233" s="3">
        <v>0.10994847946017407</v>
      </c>
    </row>
    <row r="234" spans="1:2" ht="23.25" customHeight="1" x14ac:dyDescent="0.25">
      <c r="A234" s="1" t="s">
        <v>232</v>
      </c>
      <c r="B234" s="3">
        <v>4.2124504508205124E-2</v>
      </c>
    </row>
    <row r="235" spans="1:2" ht="23.25" customHeight="1" x14ac:dyDescent="0.25">
      <c r="A235" s="1" t="s">
        <v>233</v>
      </c>
      <c r="B235" s="3">
        <v>3.8790894757587714E-2</v>
      </c>
    </row>
    <row r="236" spans="1:2" ht="23.25" customHeight="1" x14ac:dyDescent="0.25">
      <c r="A236" s="1" t="s">
        <v>234</v>
      </c>
      <c r="B236" s="3">
        <v>6.6896548453041021E-2</v>
      </c>
    </row>
    <row r="237" spans="1:2" ht="23.25" customHeight="1" x14ac:dyDescent="0.25">
      <c r="A237" s="1" t="s">
        <v>235</v>
      </c>
      <c r="B237" s="3">
        <v>3.4142893343469587E-2</v>
      </c>
    </row>
    <row r="238" spans="1:2" ht="23.25" customHeight="1" x14ac:dyDescent="0.25">
      <c r="A238" s="1" t="s">
        <v>236</v>
      </c>
      <c r="B238" s="3">
        <v>7.3941285460641304E-4</v>
      </c>
    </row>
    <row r="239" spans="1:2" ht="23.25" customHeight="1" x14ac:dyDescent="0.25">
      <c r="A239" s="1" t="s">
        <v>237</v>
      </c>
      <c r="B239" s="3">
        <v>-2.6092298175600988E-2</v>
      </c>
    </row>
    <row r="240" spans="1:2" ht="23.25" customHeight="1" x14ac:dyDescent="0.25">
      <c r="A240" s="1" t="s">
        <v>238</v>
      </c>
      <c r="B240" s="3">
        <v>0.14299450852391771</v>
      </c>
    </row>
    <row r="241" spans="1:2" ht="23.25" customHeight="1" x14ac:dyDescent="0.25">
      <c r="A241" s="1" t="s">
        <v>239</v>
      </c>
      <c r="B241" s="3">
        <v>0.10887417320768392</v>
      </c>
    </row>
    <row r="242" spans="1:2" ht="23.25" customHeight="1" x14ac:dyDescent="0.25">
      <c r="A242" s="1" t="s">
        <v>240</v>
      </c>
      <c r="B242" s="3">
        <v>3.5754679881815452E-2</v>
      </c>
    </row>
    <row r="243" spans="1:2" ht="23.25" customHeight="1" x14ac:dyDescent="0.25">
      <c r="A243" s="1" t="s">
        <v>241</v>
      </c>
      <c r="B243" s="3">
        <v>1.2344559019692758E-2</v>
      </c>
    </row>
    <row r="244" spans="1:2" ht="23.25" customHeight="1" x14ac:dyDescent="0.25">
      <c r="A244" s="1" t="s">
        <v>242</v>
      </c>
      <c r="B244" s="3">
        <v>1.6087223485288592E-2</v>
      </c>
    </row>
    <row r="245" spans="1:2" ht="23.25" customHeight="1" x14ac:dyDescent="0.25">
      <c r="A245" s="1" t="s">
        <v>243</v>
      </c>
      <c r="B245" s="3">
        <v>2.8235263374512497E-2</v>
      </c>
    </row>
    <row r="246" spans="1:2" ht="23.25" customHeight="1" x14ac:dyDescent="0.25">
      <c r="A246" s="1" t="s">
        <v>244</v>
      </c>
      <c r="B246" s="3">
        <v>1.7808924157999385E-2</v>
      </c>
    </row>
    <row r="247" spans="1:2" ht="23.25" customHeight="1" x14ac:dyDescent="0.25">
      <c r="A247" s="1" t="s">
        <v>245</v>
      </c>
      <c r="B247" s="3">
        <v>2.8952033758645586E-2</v>
      </c>
    </row>
    <row r="248" spans="1:2" ht="23.25" customHeight="1" x14ac:dyDescent="0.25">
      <c r="A248" s="1" t="s">
        <v>246</v>
      </c>
      <c r="B248" s="3">
        <v>-2.8622735600664813E-2</v>
      </c>
    </row>
    <row r="249" spans="1:2" ht="23.25" customHeight="1" x14ac:dyDescent="0.25">
      <c r="A249" s="1" t="s">
        <v>247</v>
      </c>
      <c r="B249" s="3">
        <v>-9.5243448499843296E-4</v>
      </c>
    </row>
    <row r="250" spans="1:2" ht="23.25" customHeight="1" x14ac:dyDescent="0.25">
      <c r="A250" s="1" t="s">
        <v>248</v>
      </c>
      <c r="B250" s="3">
        <v>-4.0774926780171673E-2</v>
      </c>
    </row>
    <row r="251" spans="1:2" ht="23.25" customHeight="1" x14ac:dyDescent="0.25">
      <c r="A251" s="1" t="s">
        <v>249</v>
      </c>
      <c r="B251" s="3">
        <v>-3.1979718588903985E-2</v>
      </c>
    </row>
    <row r="252" spans="1:2" ht="23.25" customHeight="1" x14ac:dyDescent="0.25">
      <c r="A252" s="1" t="s">
        <v>250</v>
      </c>
      <c r="B252" s="3">
        <v>-4.4323185263979839E-2</v>
      </c>
    </row>
    <row r="253" spans="1:2" ht="23.25" customHeight="1" x14ac:dyDescent="0.25">
      <c r="A253" s="1" t="s">
        <v>251</v>
      </c>
      <c r="B253" s="3">
        <v>4.883392450185095E-2</v>
      </c>
    </row>
    <row r="254" spans="1:2" ht="23.25" customHeight="1" x14ac:dyDescent="0.25">
      <c r="A254" s="1" t="s">
        <v>252</v>
      </c>
      <c r="B254" s="3">
        <v>-0.10555639514382145</v>
      </c>
    </row>
    <row r="255" spans="1:2" ht="23.25" customHeight="1" x14ac:dyDescent="0.25">
      <c r="A255" s="1" t="s">
        <v>253</v>
      </c>
      <c r="B255" s="3">
        <v>1.345678734220929E-2</v>
      </c>
    </row>
    <row r="256" spans="1:2" ht="23.25" customHeight="1" x14ac:dyDescent="0.25">
      <c r="A256" s="1" t="s">
        <v>254</v>
      </c>
      <c r="B256" s="3">
        <v>2.1662134426010959E-2</v>
      </c>
    </row>
    <row r="257" spans="1:2" ht="23.25" customHeight="1" x14ac:dyDescent="0.25">
      <c r="A257" s="1" t="s">
        <v>255</v>
      </c>
      <c r="B257" s="3">
        <v>-2.2700487734121411E-2</v>
      </c>
    </row>
    <row r="258" spans="1:2" ht="23.25" customHeight="1" x14ac:dyDescent="0.25">
      <c r="A258" s="1" t="s">
        <v>256</v>
      </c>
      <c r="B258" s="3">
        <v>-3.3951132632047978E-3</v>
      </c>
    </row>
    <row r="259" spans="1:2" ht="23.25" customHeight="1" x14ac:dyDescent="0.25">
      <c r="A259" s="1" t="s">
        <v>257</v>
      </c>
      <c r="B259" s="3">
        <v>-0.13152388398674567</v>
      </c>
    </row>
    <row r="260" spans="1:2" ht="23.25" customHeight="1" x14ac:dyDescent="0.25">
      <c r="A260" s="1" t="s">
        <v>258</v>
      </c>
      <c r="B260" s="3">
        <v>5.0955140956169889E-2</v>
      </c>
    </row>
    <row r="261" spans="1:2" ht="23.25" customHeight="1" x14ac:dyDescent="0.25">
      <c r="A261" s="1" t="s">
        <v>259</v>
      </c>
      <c r="B261" s="3">
        <v>8.3826228839486774E-3</v>
      </c>
    </row>
    <row r="262" spans="1:2" ht="23.25" customHeight="1" x14ac:dyDescent="0.25">
      <c r="A262" s="1" t="s">
        <v>260</v>
      </c>
      <c r="B262" s="3">
        <v>-0.12805566230456519</v>
      </c>
    </row>
    <row r="263" spans="1:2" ht="23.25" customHeight="1" x14ac:dyDescent="0.25">
      <c r="A263" s="1" t="s">
        <v>261</v>
      </c>
      <c r="B263" s="3">
        <v>6.4078237430932342E-2</v>
      </c>
    </row>
    <row r="264" spans="1:2" ht="23.25" customHeight="1" x14ac:dyDescent="0.25">
      <c r="A264" s="1" t="s">
        <v>262</v>
      </c>
      <c r="B264" s="3">
        <v>7.8008031007887155E-2</v>
      </c>
    </row>
    <row r="265" spans="1:2" ht="23.25" customHeight="1" x14ac:dyDescent="0.25">
      <c r="A265" s="1" t="s">
        <v>263</v>
      </c>
      <c r="B265" s="3">
        <v>-9.5501369043045015E-2</v>
      </c>
    </row>
    <row r="266" spans="1:2" ht="23.25" customHeight="1" x14ac:dyDescent="0.25">
      <c r="A266" s="1" t="s">
        <v>264</v>
      </c>
      <c r="B266" s="3">
        <v>8.4367733857985974E-2</v>
      </c>
    </row>
    <row r="267" spans="1:2" ht="23.25" customHeight="1" x14ac:dyDescent="0.25">
      <c r="A267" s="1" t="s">
        <v>265</v>
      </c>
      <c r="B267" s="3">
        <v>-5.0431325976875068E-3</v>
      </c>
    </row>
    <row r="268" spans="1:2" ht="23.25" customHeight="1" x14ac:dyDescent="0.25">
      <c r="A268" s="1" t="s">
        <v>266</v>
      </c>
      <c r="B268" s="3">
        <v>2.6528793750129606E-2</v>
      </c>
    </row>
    <row r="269" spans="1:2" ht="23.25" customHeight="1" x14ac:dyDescent="0.25">
      <c r="A269" s="1" t="s">
        <v>267</v>
      </c>
      <c r="B269" s="3">
        <v>9.9601915328278827E-3</v>
      </c>
    </row>
    <row r="270" spans="1:2" ht="23.25" customHeight="1" x14ac:dyDescent="0.25">
      <c r="A270" s="1" t="s">
        <v>268</v>
      </c>
      <c r="B270" s="3">
        <v>3.0217506885785773E-2</v>
      </c>
    </row>
    <row r="271" spans="1:2" ht="23.25" customHeight="1" x14ac:dyDescent="0.25">
      <c r="A271" s="1" t="s">
        <v>269</v>
      </c>
      <c r="B271" s="3">
        <v>-4.9823058297633373E-3</v>
      </c>
    </row>
    <row r="272" spans="1:2" ht="23.25" customHeight="1" x14ac:dyDescent="0.25">
      <c r="A272" s="1" t="s">
        <v>270</v>
      </c>
      <c r="B272" s="3">
        <v>2.6635156847146069E-2</v>
      </c>
    </row>
    <row r="273" spans="1:2" ht="23.25" customHeight="1" x14ac:dyDescent="0.25">
      <c r="A273" s="1" t="s">
        <v>271</v>
      </c>
      <c r="B273" s="3">
        <v>-2.898677343138668E-2</v>
      </c>
    </row>
    <row r="274" spans="1:2" ht="23.25" customHeight="1" x14ac:dyDescent="0.25">
      <c r="A274" s="1" t="s">
        <v>272</v>
      </c>
      <c r="B274" s="3">
        <v>-3.5676982478376626E-2</v>
      </c>
    </row>
    <row r="275" spans="1:2" ht="23.25" customHeight="1" x14ac:dyDescent="0.25">
      <c r="A275" s="1" t="s">
        <v>273</v>
      </c>
      <c r="B275" s="3">
        <v>-7.5892368168044053E-2</v>
      </c>
    </row>
    <row r="276" spans="1:2" ht="23.25" customHeight="1" x14ac:dyDescent="0.25">
      <c r="A276" s="1" t="s">
        <v>274</v>
      </c>
      <c r="B276" s="3">
        <v>0.11295045193350287</v>
      </c>
    </row>
    <row r="277" spans="1:2" ht="23.25" customHeight="1" x14ac:dyDescent="0.25">
      <c r="A277" s="1" t="s">
        <v>275</v>
      </c>
      <c r="B277" s="3">
        <v>4.7327919094068228E-2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D1E22-3135-4BDF-B0A5-3297FA70B868}">
  <dimension ref="B3:E30"/>
  <sheetViews>
    <sheetView workbookViewId="0">
      <selection activeCell="A2" sqref="A2"/>
    </sheetView>
  </sheetViews>
  <sheetFormatPr defaultColWidth="9.109375" defaultRowHeight="15.6" x14ac:dyDescent="0.25"/>
  <cols>
    <col min="1" max="1" width="9.109375" style="5"/>
    <col min="2" max="4" width="16.5546875" style="5" customWidth="1"/>
    <col min="5" max="16384" width="9.109375" style="5"/>
  </cols>
  <sheetData>
    <row r="3" spans="2:5" x14ac:dyDescent="0.3">
      <c r="B3" s="4" t="s">
        <v>278</v>
      </c>
      <c r="C3" s="4"/>
      <c r="D3" s="4"/>
      <c r="E3" s="4"/>
    </row>
    <row r="4" spans="2:5" x14ac:dyDescent="0.3">
      <c r="B4" s="4"/>
      <c r="C4" s="4"/>
      <c r="D4" s="4"/>
      <c r="E4" s="4"/>
    </row>
    <row r="5" spans="2:5" x14ac:dyDescent="0.3">
      <c r="B5" s="4" t="s">
        <v>279</v>
      </c>
      <c r="C5" s="4" t="s">
        <v>280</v>
      </c>
      <c r="D5" s="4" t="s">
        <v>281</v>
      </c>
      <c r="E5" s="4"/>
    </row>
    <row r="6" spans="2:5" x14ac:dyDescent="0.3">
      <c r="B6" s="6">
        <f>MIN('3-1 data'!$B$2:$B$277)+(MAX('3-1 data'!$B$2:$B$277)-MIN('3-1 data'!$B$2:$B$277))*0.1</f>
        <v>-0.1857590477197332</v>
      </c>
      <c r="C6" s="4">
        <f>FREQUENCY('3-1 data'!$B$2:$B$277,B6)</f>
        <v>1</v>
      </c>
      <c r="D6" s="4">
        <f>C6</f>
        <v>1</v>
      </c>
      <c r="E6" s="4"/>
    </row>
    <row r="7" spans="2:5" x14ac:dyDescent="0.3">
      <c r="B7" s="6">
        <f>MIN('3-1 data'!$B$2:$B$277)+(MAX('3-1 data'!$B$2:$B$277)-MIN('3-1 data'!$B$2:$B$277))*0.2</f>
        <v>-0.14017409035680406</v>
      </c>
      <c r="C7" s="4">
        <f>FREQUENCY('3-1 data'!$B$2:$B$277,B7)</f>
        <v>2</v>
      </c>
      <c r="D7" s="4">
        <f>C7-C6</f>
        <v>1</v>
      </c>
      <c r="E7" s="4"/>
    </row>
    <row r="8" spans="2:5" x14ac:dyDescent="0.3">
      <c r="B8" s="6">
        <f>MIN('3-1 data'!$B$2:$B$277)+(MAX('3-1 data'!$B$2:$B$277)-MIN('3-1 data'!$B$2:$B$277))*0.3</f>
        <v>-9.4589132993874919E-2</v>
      </c>
      <c r="C8" s="4">
        <f>FREQUENCY('3-1 data'!$B$2:$B$277,B8)</f>
        <v>14</v>
      </c>
      <c r="D8" s="4">
        <f t="shared" ref="D8:D15" si="0">C8-C7</f>
        <v>12</v>
      </c>
      <c r="E8" s="4"/>
    </row>
    <row r="9" spans="2:5" x14ac:dyDescent="0.3">
      <c r="B9" s="6">
        <f>MIN('3-1 data'!$B$2:$B$277)+(MAX('3-1 data'!$B$2:$B$277)-MIN('3-1 data'!$B$2:$B$277))*0.4</f>
        <v>-4.9004175630945779E-2</v>
      </c>
      <c r="C9" s="4">
        <f>FREQUENCY('3-1 data'!$B$2:$B$277,B9)</f>
        <v>42</v>
      </c>
      <c r="D9" s="4">
        <f t="shared" si="0"/>
        <v>28</v>
      </c>
      <c r="E9" s="4"/>
    </row>
    <row r="10" spans="2:5" x14ac:dyDescent="0.3">
      <c r="B10" s="6">
        <f>MIN('3-1 data'!$B$2:$B$277)+(MAX('3-1 data'!$B$2:$B$277)-MIN('3-1 data'!$B$2:$B$277))*0.5</f>
        <v>-3.4192182680166383E-3</v>
      </c>
      <c r="C10" s="4">
        <f>FREQUENCY('3-1 data'!$B$2:$B$277,B10)</f>
        <v>113</v>
      </c>
      <c r="D10" s="4">
        <f t="shared" si="0"/>
        <v>71</v>
      </c>
      <c r="E10" s="4"/>
    </row>
    <row r="11" spans="2:5" x14ac:dyDescent="0.3">
      <c r="B11" s="6">
        <f>MIN('3-1 data'!$B$2:$B$277)+(MAX('3-1 data'!$B$2:$B$277)-MIN('3-1 data'!$B$2:$B$277))*0.6</f>
        <v>4.2165739094912502E-2</v>
      </c>
      <c r="C11" s="4">
        <f>FREQUENCY('3-1 data'!$B$2:$B$277,B11)</f>
        <v>211</v>
      </c>
      <c r="D11" s="4">
        <f t="shared" si="0"/>
        <v>98</v>
      </c>
      <c r="E11" s="4"/>
    </row>
    <row r="12" spans="2:5" x14ac:dyDescent="0.3">
      <c r="B12" s="6">
        <f>MIN('3-1 data'!$B$2:$B$277)+(MAX('3-1 data'!$B$2:$B$277)-MIN('3-1 data'!$B$2:$B$277))*0.7</f>
        <v>8.7750696457841615E-2</v>
      </c>
      <c r="C12" s="4">
        <f>FREQUENCY('3-1 data'!$B$2:$B$277,B12)</f>
        <v>254</v>
      </c>
      <c r="D12" s="4">
        <f t="shared" si="0"/>
        <v>43</v>
      </c>
      <c r="E12" s="4"/>
    </row>
    <row r="13" spans="2:5" x14ac:dyDescent="0.3">
      <c r="B13" s="6">
        <f>MIN('3-1 data'!$B$2:$B$277)+(MAX('3-1 data'!$B$2:$B$277)-MIN('3-1 data'!$B$2:$B$277))*0.8</f>
        <v>0.13333565382077078</v>
      </c>
      <c r="C13" s="4">
        <f>FREQUENCY('3-1 data'!$B$2:$B$277,B13)</f>
        <v>271</v>
      </c>
      <c r="D13" s="4">
        <f t="shared" si="0"/>
        <v>17</v>
      </c>
      <c r="E13" s="4"/>
    </row>
    <row r="14" spans="2:5" x14ac:dyDescent="0.3">
      <c r="B14" s="6">
        <f>MIN('3-1 data'!$B$2:$B$277)+(MAX('3-1 data'!$B$2:$B$277)-MIN('3-1 data'!$B$2:$B$277))*0.9</f>
        <v>0.17892061118369995</v>
      </c>
      <c r="C14" s="4">
        <f>FREQUENCY('3-1 data'!$B$2:$B$277,B14)</f>
        <v>274</v>
      </c>
      <c r="D14" s="4">
        <f t="shared" si="0"/>
        <v>3</v>
      </c>
      <c r="E14" s="4"/>
    </row>
    <row r="15" spans="2:5" x14ac:dyDescent="0.3">
      <c r="B15" s="6">
        <f>MIN('3-1 data'!$B$2:$B$277)+(MAX('3-1 data'!$B$2:$B$277)-MIN('3-1 data'!$B$2:$B$277))*1</f>
        <v>0.22450556854662906</v>
      </c>
      <c r="C15" s="4">
        <f>FREQUENCY('3-1 data'!$B$2:$B$277,B15)</f>
        <v>276</v>
      </c>
      <c r="D15" s="4">
        <f t="shared" si="0"/>
        <v>2</v>
      </c>
      <c r="E15" s="4"/>
    </row>
    <row r="16" spans="2:5" x14ac:dyDescent="0.3">
      <c r="B16" s="4"/>
      <c r="C16" s="4"/>
      <c r="D16" s="4"/>
      <c r="E16" s="4"/>
    </row>
    <row r="17" spans="2:5" x14ac:dyDescent="0.3">
      <c r="B17" s="4"/>
      <c r="C17" s="4"/>
      <c r="D17" s="4"/>
      <c r="E17" s="4"/>
    </row>
    <row r="18" spans="2:5" x14ac:dyDescent="0.3">
      <c r="E18" s="4"/>
    </row>
    <row r="19" spans="2:5" x14ac:dyDescent="0.3">
      <c r="E19" s="4"/>
    </row>
    <row r="20" spans="2:5" x14ac:dyDescent="0.3">
      <c r="E20" s="4"/>
    </row>
    <row r="21" spans="2:5" x14ac:dyDescent="0.3">
      <c r="B21" s="4" t="s">
        <v>282</v>
      </c>
      <c r="C21" s="4"/>
      <c r="D21" s="4"/>
      <c r="E21" s="4"/>
    </row>
    <row r="22" spans="2:5" x14ac:dyDescent="0.3">
      <c r="B22" s="4"/>
      <c r="C22" s="4"/>
      <c r="D22" s="4"/>
      <c r="E22" s="4"/>
    </row>
    <row r="23" spans="2:5" x14ac:dyDescent="0.3">
      <c r="B23" s="4" t="s">
        <v>283</v>
      </c>
      <c r="C23" s="7">
        <f>AVERAGE('3-1 data'!B2:B277)</f>
        <v>7.7903855836614138E-3</v>
      </c>
      <c r="D23" s="4" t="s">
        <v>284</v>
      </c>
      <c r="E23" s="4"/>
    </row>
    <row r="24" spans="2:5" x14ac:dyDescent="0.3">
      <c r="B24" s="4" t="s">
        <v>285</v>
      </c>
      <c r="C24" s="7">
        <f>VAR('3-1 data'!B2:B277)</f>
        <v>3.5163429585151726E-3</v>
      </c>
      <c r="D24" s="4" t="s">
        <v>286</v>
      </c>
      <c r="E24" s="4"/>
    </row>
    <row r="25" spans="2:5" x14ac:dyDescent="0.3">
      <c r="B25" s="4" t="s">
        <v>287</v>
      </c>
      <c r="C25" s="7">
        <f>STDEV('3-1 data'!B2:B277)</f>
        <v>5.9298760176880363E-2</v>
      </c>
      <c r="D25" s="4" t="s">
        <v>288</v>
      </c>
      <c r="E25" s="4"/>
    </row>
    <row r="26" spans="2:5" x14ac:dyDescent="0.3">
      <c r="B26" s="4" t="s">
        <v>289</v>
      </c>
      <c r="C26" s="7">
        <f>MAX('3-1 data'!B2:B277)</f>
        <v>0.22450556854662906</v>
      </c>
      <c r="D26" s="4" t="s">
        <v>290</v>
      </c>
      <c r="E26" s="4"/>
    </row>
    <row r="27" spans="2:5" x14ac:dyDescent="0.3">
      <c r="B27" s="4" t="s">
        <v>291</v>
      </c>
      <c r="C27" s="7">
        <f>MIN('3-1 data'!B2:B277)</f>
        <v>-0.23134400508266234</v>
      </c>
      <c r="D27" s="4" t="s">
        <v>292</v>
      </c>
      <c r="E27" s="4"/>
    </row>
    <row r="28" spans="2:5" x14ac:dyDescent="0.3">
      <c r="B28" s="4" t="s">
        <v>293</v>
      </c>
      <c r="C28" s="7">
        <f>QUARTILE('3-1 data'!B2:B277,1)</f>
        <v>-2.512306316440675E-2</v>
      </c>
      <c r="D28" s="4" t="s">
        <v>294</v>
      </c>
    </row>
    <row r="29" spans="2:5" x14ac:dyDescent="0.3">
      <c r="B29" s="4" t="s">
        <v>295</v>
      </c>
      <c r="C29" s="7">
        <f>QUARTILE('3-1 data'!B2:B277,2)</f>
        <v>9.5293484606016939E-3</v>
      </c>
      <c r="D29" s="4" t="s">
        <v>296</v>
      </c>
    </row>
    <row r="30" spans="2:5" x14ac:dyDescent="0.3">
      <c r="B30" s="4" t="s">
        <v>297</v>
      </c>
      <c r="C30" s="7">
        <f>QUARTILE('3-1 data'!B2:B277,3)</f>
        <v>4.1078324270576665E-2</v>
      </c>
      <c r="D30" s="4" t="s">
        <v>298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F868-57A7-4C7A-9321-6CB70BD8B403}">
  <dimension ref="B2:E17"/>
  <sheetViews>
    <sheetView workbookViewId="0">
      <selection activeCell="B2" sqref="B2"/>
    </sheetView>
  </sheetViews>
  <sheetFormatPr defaultColWidth="9.109375" defaultRowHeight="10.8" x14ac:dyDescent="0.15"/>
  <cols>
    <col min="1" max="1" width="3.44140625" style="8" customWidth="1"/>
    <col min="2" max="5" width="15.5546875" style="8" customWidth="1"/>
    <col min="6" max="16384" width="9.109375" style="8"/>
  </cols>
  <sheetData>
    <row r="2" spans="2:5" ht="15" customHeight="1" x14ac:dyDescent="0.15">
      <c r="B2" s="44" t="s">
        <v>374</v>
      </c>
      <c r="C2" s="44" t="s">
        <v>299</v>
      </c>
      <c r="D2" s="44" t="s">
        <v>287</v>
      </c>
      <c r="E2" s="44" t="s">
        <v>300</v>
      </c>
    </row>
    <row r="3" spans="2:5" ht="15" customHeight="1" x14ac:dyDescent="0.15">
      <c r="B3" s="44" t="s">
        <v>301</v>
      </c>
      <c r="C3" s="45">
        <v>0.15</v>
      </c>
      <c r="D3" s="45">
        <v>0.4</v>
      </c>
      <c r="E3" s="125">
        <v>0</v>
      </c>
    </row>
    <row r="4" spans="2:5" ht="15" customHeight="1" x14ac:dyDescent="0.15">
      <c r="B4" s="44" t="s">
        <v>302</v>
      </c>
      <c r="C4" s="45">
        <v>0.05</v>
      </c>
      <c r="D4" s="45">
        <v>0.16</v>
      </c>
      <c r="E4" s="125"/>
    </row>
    <row r="5" spans="2:5" ht="13.2" x14ac:dyDescent="0.15">
      <c r="B5" s="46"/>
      <c r="C5" s="46"/>
      <c r="D5" s="46"/>
      <c r="E5" s="46"/>
    </row>
    <row r="6" spans="2:5" ht="29.25" customHeight="1" x14ac:dyDescent="0.15">
      <c r="B6" s="44" t="s">
        <v>303</v>
      </c>
      <c r="C6" s="44" t="s">
        <v>304</v>
      </c>
      <c r="D6" s="47" t="s">
        <v>305</v>
      </c>
      <c r="E6" s="47" t="s">
        <v>306</v>
      </c>
    </row>
    <row r="7" spans="2:5" ht="18" customHeight="1" x14ac:dyDescent="0.15">
      <c r="B7" s="48">
        <v>0</v>
      </c>
      <c r="C7" s="48">
        <f>1-B7</f>
        <v>1</v>
      </c>
      <c r="D7" s="49">
        <f>B7*$C$3+C7*$C$4</f>
        <v>0.05</v>
      </c>
      <c r="E7" s="49">
        <f>SQRT(B7*B7*$D$3*$D$3+C7*C7*$D$4*$D$4+2*B7*C7*$E$3*$D$3*$D$4)</f>
        <v>0.16</v>
      </c>
    </row>
    <row r="8" spans="2:5" ht="18" customHeight="1" x14ac:dyDescent="0.15">
      <c r="B8" s="48">
        <v>0.1</v>
      </c>
      <c r="C8" s="48">
        <f t="shared" ref="C8:C17" si="0">1-B8</f>
        <v>0.9</v>
      </c>
      <c r="D8" s="49">
        <f t="shared" ref="D8:D17" si="1">B8*$C$3+C8*$C$4</f>
        <v>6.0000000000000005E-2</v>
      </c>
      <c r="E8" s="49">
        <f t="shared" ref="E8:E17" si="2">SQRT(B8*B8*$D$3*$D$3+C8*C8*$D$4*$D$4+2*B8*C8*$E$3*$D$3*$D$4)</f>
        <v>0.14945233353815526</v>
      </c>
    </row>
    <row r="9" spans="2:5" ht="18" customHeight="1" x14ac:dyDescent="0.15">
      <c r="B9" s="48">
        <v>0.2</v>
      </c>
      <c r="C9" s="48">
        <f t="shared" si="0"/>
        <v>0.8</v>
      </c>
      <c r="D9" s="49">
        <f t="shared" si="1"/>
        <v>7.0000000000000007E-2</v>
      </c>
      <c r="E9" s="49">
        <f t="shared" si="2"/>
        <v>0.15094369811290567</v>
      </c>
    </row>
    <row r="10" spans="2:5" ht="18" customHeight="1" x14ac:dyDescent="0.15">
      <c r="B10" s="48">
        <v>0.3</v>
      </c>
      <c r="C10" s="48">
        <f t="shared" si="0"/>
        <v>0.7</v>
      </c>
      <c r="D10" s="49">
        <f t="shared" si="1"/>
        <v>7.9999999999999988E-2</v>
      </c>
      <c r="E10" s="49">
        <f t="shared" si="2"/>
        <v>0.16414627622946554</v>
      </c>
    </row>
    <row r="11" spans="2:5" ht="18" customHeight="1" x14ac:dyDescent="0.15">
      <c r="B11" s="48">
        <v>0.4</v>
      </c>
      <c r="C11" s="48">
        <f t="shared" si="0"/>
        <v>0.6</v>
      </c>
      <c r="D11" s="49">
        <f t="shared" si="1"/>
        <v>0.09</v>
      </c>
      <c r="E11" s="49">
        <f t="shared" si="2"/>
        <v>0.18659046063504964</v>
      </c>
    </row>
    <row r="12" spans="2:5" ht="18" customHeight="1" x14ac:dyDescent="0.15">
      <c r="B12" s="48">
        <v>0.5</v>
      </c>
      <c r="C12" s="48">
        <f t="shared" si="0"/>
        <v>0.5</v>
      </c>
      <c r="D12" s="49">
        <f t="shared" si="1"/>
        <v>0.1</v>
      </c>
      <c r="E12" s="49">
        <f t="shared" si="2"/>
        <v>0.2154065922853802</v>
      </c>
    </row>
    <row r="13" spans="2:5" ht="18" customHeight="1" x14ac:dyDescent="0.15">
      <c r="B13" s="48">
        <v>0.6</v>
      </c>
      <c r="C13" s="48">
        <f t="shared" si="0"/>
        <v>0.4</v>
      </c>
      <c r="D13" s="49">
        <f t="shared" si="1"/>
        <v>0.11</v>
      </c>
      <c r="E13" s="49">
        <f t="shared" si="2"/>
        <v>0.24838679514016038</v>
      </c>
    </row>
    <row r="14" spans="2:5" ht="18" customHeight="1" x14ac:dyDescent="0.15">
      <c r="B14" s="48">
        <v>0.7</v>
      </c>
      <c r="C14" s="48">
        <f t="shared" si="0"/>
        <v>0.30000000000000004</v>
      </c>
      <c r="D14" s="49">
        <f t="shared" si="1"/>
        <v>0.12</v>
      </c>
      <c r="E14" s="49">
        <f t="shared" si="2"/>
        <v>0.28408449447303524</v>
      </c>
    </row>
    <row r="15" spans="2:5" ht="18" customHeight="1" x14ac:dyDescent="0.15">
      <c r="B15" s="48">
        <v>0.8</v>
      </c>
      <c r="C15" s="48">
        <f t="shared" si="0"/>
        <v>0.19999999999999996</v>
      </c>
      <c r="D15" s="49">
        <f t="shared" si="1"/>
        <v>0.13</v>
      </c>
      <c r="E15" s="49">
        <f t="shared" si="2"/>
        <v>0.32159601987586856</v>
      </c>
    </row>
    <row r="16" spans="2:5" ht="18" customHeight="1" x14ac:dyDescent="0.15">
      <c r="B16" s="48">
        <v>0.9</v>
      </c>
      <c r="C16" s="48">
        <f t="shared" si="0"/>
        <v>9.9999999999999978E-2</v>
      </c>
      <c r="D16" s="49">
        <f t="shared" si="1"/>
        <v>0.14000000000000001</v>
      </c>
      <c r="E16" s="49">
        <f t="shared" si="2"/>
        <v>0.36035538014576668</v>
      </c>
    </row>
    <row r="17" spans="2:5" ht="18" customHeight="1" x14ac:dyDescent="0.15">
      <c r="B17" s="48">
        <v>1</v>
      </c>
      <c r="C17" s="48">
        <f t="shared" si="0"/>
        <v>0</v>
      </c>
      <c r="D17" s="49">
        <f t="shared" si="1"/>
        <v>0.15</v>
      </c>
      <c r="E17" s="49">
        <f t="shared" si="2"/>
        <v>0.4</v>
      </c>
    </row>
  </sheetData>
  <mergeCells count="1"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F702E-A2E9-4A95-83E9-ABF00316B8EF}">
  <dimension ref="A1:Z277"/>
  <sheetViews>
    <sheetView workbookViewId="0">
      <pane xSplit="1" ySplit="1" topLeftCell="B50" activePane="bottomRight" state="frozen"/>
      <selection pane="topRight" activeCell="B1" sqref="B1"/>
      <selection pane="bottomLeft" activeCell="A2" sqref="A2"/>
      <selection pane="bottomRight" activeCell="E2" sqref="E2:E277"/>
    </sheetView>
  </sheetViews>
  <sheetFormatPr defaultColWidth="9.109375" defaultRowHeight="13.2" x14ac:dyDescent="0.25"/>
  <cols>
    <col min="1" max="1" width="9.109375" style="9"/>
    <col min="2" max="17" width="8.5546875" style="9" customWidth="1"/>
    <col min="18" max="18" width="1.5546875" style="9" customWidth="1"/>
    <col min="19" max="19" width="15.5546875" style="9" customWidth="1"/>
    <col min="20" max="23" width="12.5546875" style="9" customWidth="1"/>
    <col min="24" max="16384" width="9.109375" style="9"/>
  </cols>
  <sheetData>
    <row r="1" spans="1:21" ht="36" customHeight="1" x14ac:dyDescent="0.25">
      <c r="A1" s="9" t="s">
        <v>276</v>
      </c>
      <c r="B1" s="12" t="s">
        <v>307</v>
      </c>
      <c r="C1" s="12" t="s">
        <v>308</v>
      </c>
      <c r="D1" s="12" t="s">
        <v>309</v>
      </c>
      <c r="E1" s="12" t="s">
        <v>310</v>
      </c>
      <c r="F1" s="13" t="s">
        <v>330</v>
      </c>
      <c r="G1" s="13" t="s">
        <v>331</v>
      </c>
      <c r="H1" s="13" t="s">
        <v>332</v>
      </c>
      <c r="I1" s="13" t="s">
        <v>333</v>
      </c>
      <c r="J1" s="13" t="s">
        <v>334</v>
      </c>
      <c r="K1" s="13" t="s">
        <v>335</v>
      </c>
      <c r="L1" s="13" t="s">
        <v>336</v>
      </c>
      <c r="M1" s="13" t="s">
        <v>337</v>
      </c>
      <c r="N1" s="13" t="s">
        <v>338</v>
      </c>
      <c r="O1" s="13" t="s">
        <v>339</v>
      </c>
      <c r="P1" s="13" t="s">
        <v>340</v>
      </c>
      <c r="Q1" s="13" t="s">
        <v>341</v>
      </c>
    </row>
    <row r="2" spans="1:21" x14ac:dyDescent="0.3">
      <c r="A2" s="10" t="s">
        <v>0</v>
      </c>
      <c r="B2" s="11">
        <v>0.22989277545796002</v>
      </c>
      <c r="C2" s="11">
        <v>0.22305382305382321</v>
      </c>
      <c r="D2" s="11">
        <v>0.20758340236463588</v>
      </c>
      <c r="E2" s="11">
        <v>0.60441232407759626</v>
      </c>
      <c r="F2" s="11">
        <v>4.4333333333333334E-3</v>
      </c>
      <c r="G2" s="11">
        <v>5.358333333333333E-3</v>
      </c>
      <c r="H2" s="11">
        <v>5.8083333333333329E-3</v>
      </c>
      <c r="I2" s="11">
        <v>5.4000000000000012E-3</v>
      </c>
      <c r="J2" s="11">
        <v>5.0333333333333332E-3</v>
      </c>
      <c r="K2" s="11">
        <v>4.9916666666666668E-3</v>
      </c>
      <c r="L2" s="11">
        <v>5.1666666666666666E-3</v>
      </c>
      <c r="M2" s="11">
        <v>5.541666666666667E-3</v>
      </c>
      <c r="N2" s="11">
        <v>5.0416666666666665E-3</v>
      </c>
      <c r="O2" s="11">
        <v>5.1166666666666661E-3</v>
      </c>
      <c r="P2" s="11">
        <v>6.4666666666666666E-3</v>
      </c>
      <c r="Q2" s="11">
        <v>9.7083333333333344E-3</v>
      </c>
      <c r="S2" s="4" t="s">
        <v>278</v>
      </c>
      <c r="T2" s="4"/>
      <c r="U2" s="4"/>
    </row>
    <row r="3" spans="1:21" x14ac:dyDescent="0.3">
      <c r="A3" s="10" t="s">
        <v>1</v>
      </c>
      <c r="B3" s="11">
        <v>-8.4776414788528043E-2</v>
      </c>
      <c r="C3" s="11">
        <v>1.7848373814830076E-2</v>
      </c>
      <c r="D3" s="11">
        <v>5.7544198808892902E-2</v>
      </c>
      <c r="E3" s="11">
        <v>-9.0090090090090086E-2</v>
      </c>
      <c r="F3" s="11">
        <v>4.2750000000000002E-3</v>
      </c>
      <c r="G3" s="11">
        <v>4.7750000000000006E-3</v>
      </c>
      <c r="H3" s="11">
        <v>5.2416666666666662E-3</v>
      </c>
      <c r="I3" s="11">
        <v>5.1333333333333335E-3</v>
      </c>
      <c r="J3" s="11">
        <v>4.5916666666666666E-3</v>
      </c>
      <c r="K3" s="11">
        <v>4.5249999999999995E-3</v>
      </c>
      <c r="L3" s="11">
        <v>4.7999999999999996E-3</v>
      </c>
      <c r="M3" s="11">
        <v>5.3416666666666673E-3</v>
      </c>
      <c r="N3" s="11">
        <v>4.6083333333333332E-3</v>
      </c>
      <c r="O3" s="11">
        <v>4.7333333333333333E-3</v>
      </c>
      <c r="P3" s="11">
        <v>5.6583333333333338E-3</v>
      </c>
      <c r="Q3" s="11">
        <v>9.7000000000000003E-3</v>
      </c>
      <c r="S3" s="4" t="s">
        <v>307</v>
      </c>
      <c r="T3" s="4"/>
      <c r="U3" s="4"/>
    </row>
    <row r="4" spans="1:21" x14ac:dyDescent="0.3">
      <c r="A4" s="10" t="s">
        <v>2</v>
      </c>
      <c r="B4" s="11">
        <v>-8.4781149802401146E-2</v>
      </c>
      <c r="C4" s="11">
        <v>-0.10562060455363598</v>
      </c>
      <c r="D4" s="11">
        <v>-9.4570489289873785E-2</v>
      </c>
      <c r="E4" s="11">
        <v>-0.10852006253256913</v>
      </c>
      <c r="F4" s="11">
        <v>4.1916666666666673E-3</v>
      </c>
      <c r="G4" s="11">
        <v>4.7333333333333333E-3</v>
      </c>
      <c r="H4" s="11">
        <v>5.1166666666666661E-3</v>
      </c>
      <c r="I4" s="11">
        <v>5.7500000000000008E-3</v>
      </c>
      <c r="J4" s="11">
        <v>4.8416666666666669E-3</v>
      </c>
      <c r="K4" s="11">
        <v>4.8666666666666667E-3</v>
      </c>
      <c r="L4" s="11">
        <v>5.3333333333333332E-3</v>
      </c>
      <c r="M4" s="11">
        <v>5.8333333333333336E-3</v>
      </c>
      <c r="N4" s="11">
        <v>4.8500000000000001E-3</v>
      </c>
      <c r="O4" s="11">
        <v>4.9500000000000004E-3</v>
      </c>
      <c r="P4" s="11">
        <v>5.9666666666666661E-3</v>
      </c>
      <c r="Q4" s="11">
        <v>1.005E-2</v>
      </c>
      <c r="S4" s="16" t="s">
        <v>279</v>
      </c>
      <c r="T4" s="16" t="s">
        <v>280</v>
      </c>
      <c r="U4" s="16" t="s">
        <v>281</v>
      </c>
    </row>
    <row r="5" spans="1:21" x14ac:dyDescent="0.3">
      <c r="A5" s="10" t="s">
        <v>3</v>
      </c>
      <c r="B5" s="11">
        <v>0.11389929933192117</v>
      </c>
      <c r="C5" s="11">
        <v>4.120417436046394E-2</v>
      </c>
      <c r="D5" s="11">
        <v>6.3499299879530441E-4</v>
      </c>
      <c r="E5" s="11">
        <v>0.15402601198304852</v>
      </c>
      <c r="F5" s="11">
        <v>4.1749999999999999E-3</v>
      </c>
      <c r="G5" s="11">
        <v>4.8666666666666667E-3</v>
      </c>
      <c r="H5" s="11">
        <v>5.1166666666666661E-3</v>
      </c>
      <c r="I5" s="11">
        <v>6.3166666666666675E-3</v>
      </c>
      <c r="J5" s="11">
        <v>5.1666666666666666E-3</v>
      </c>
      <c r="K5" s="11">
        <v>5.4916666666666664E-3</v>
      </c>
      <c r="L5" s="11">
        <v>6.0333333333333341E-3</v>
      </c>
      <c r="M5" s="11">
        <v>6.45E-3</v>
      </c>
      <c r="N5" s="11">
        <v>5.1749999999999999E-3</v>
      </c>
      <c r="O5" s="11">
        <v>5.2666666666666669E-3</v>
      </c>
      <c r="P5" s="11">
        <v>6.5916666666666667E-3</v>
      </c>
      <c r="Q5" s="11">
        <v>1.0516666666666665E-2</v>
      </c>
      <c r="S5" s="17">
        <f>MIN($B$2:$B$277)+(MAX($B$2:$B$277)-MIN($B$2:$B$277))*0.1</f>
        <v>-0.18831468835848869</v>
      </c>
      <c r="T5" s="16">
        <f>FREQUENCY($B$2:$B$277,S5)</f>
        <v>2</v>
      </c>
      <c r="U5" s="16">
        <f>T5</f>
        <v>2</v>
      </c>
    </row>
    <row r="6" spans="1:21" x14ac:dyDescent="0.3">
      <c r="A6" s="10" t="s">
        <v>4</v>
      </c>
      <c r="B6" s="11">
        <v>4.5220157987127009E-2</v>
      </c>
      <c r="C6" s="11">
        <v>0.15251569193982259</v>
      </c>
      <c r="D6" s="11">
        <v>0.10006996761963649</v>
      </c>
      <c r="E6" s="11">
        <v>3.0138027098898255E-2</v>
      </c>
      <c r="F6" s="11">
        <v>4.1833333333333332E-3</v>
      </c>
      <c r="G6" s="11">
        <v>4.875E-3</v>
      </c>
      <c r="H6" s="11">
        <v>5.1083333333333336E-3</v>
      </c>
      <c r="I6" s="11">
        <v>6.1916666666666656E-3</v>
      </c>
      <c r="J6" s="11">
        <v>5.0833333333333329E-3</v>
      </c>
      <c r="K6" s="11">
        <v>5.3833333333333337E-3</v>
      </c>
      <c r="L6" s="11">
        <v>5.8749999999999991E-3</v>
      </c>
      <c r="M6" s="11">
        <v>6.3166666666666675E-3</v>
      </c>
      <c r="N6" s="11">
        <v>5.0833333333333329E-3</v>
      </c>
      <c r="O6" s="11">
        <v>5.1583333333333333E-3</v>
      </c>
      <c r="P6" s="11">
        <v>6.4166666666666669E-3</v>
      </c>
      <c r="Q6" s="11">
        <v>1.0200000000000001E-2</v>
      </c>
      <c r="S6" s="17">
        <f>MIN($B$2:$B$277)+(MAX($B$2:$B$277)-MIN($B$2:$B$277))*0.2</f>
        <v>-0.14184719237888327</v>
      </c>
      <c r="T6" s="16">
        <f t="shared" ref="T6:T14" si="0">FREQUENCY($B$2:$B$277,S6)</f>
        <v>2</v>
      </c>
      <c r="U6" s="16">
        <f>T6-T5</f>
        <v>0</v>
      </c>
    </row>
    <row r="7" spans="1:21" x14ac:dyDescent="0.3">
      <c r="A7" s="10" t="s">
        <v>5</v>
      </c>
      <c r="B7" s="11">
        <v>-4.7812319588530709E-2</v>
      </c>
      <c r="C7" s="11">
        <v>3.7638963329241486E-2</v>
      </c>
      <c r="D7" s="11">
        <v>-3.5943023651397983E-3</v>
      </c>
      <c r="E7" s="11">
        <v>-5.5070682237246413E-2</v>
      </c>
      <c r="F7" s="11">
        <v>4.1833333333333332E-3</v>
      </c>
      <c r="G7" s="11">
        <v>4.7083333333333335E-3</v>
      </c>
      <c r="H7" s="11">
        <v>4.8250000000000003E-3</v>
      </c>
      <c r="I7" s="11">
        <v>5.7583333333333332E-3</v>
      </c>
      <c r="J7" s="11">
        <v>4.8333333333333327E-3</v>
      </c>
      <c r="K7" s="11">
        <v>5.0333333333333332E-3</v>
      </c>
      <c r="L7" s="11">
        <v>5.4083333333333336E-3</v>
      </c>
      <c r="M7" s="11">
        <v>5.9499999999999996E-3</v>
      </c>
      <c r="N7" s="11">
        <v>4.8333333333333327E-3</v>
      </c>
      <c r="O7" s="11">
        <v>4.8999999999999998E-3</v>
      </c>
      <c r="P7" s="11">
        <v>6.0333333333333341E-3</v>
      </c>
      <c r="Q7" s="11">
        <v>9.5333333333333329E-3</v>
      </c>
      <c r="S7" s="17">
        <f>MIN($B$2:$B$277)+(MAX($B$2:$B$277)-MIN($B$2:$B$277))*0.3</f>
        <v>-9.5379696399277875E-2</v>
      </c>
      <c r="T7" s="16">
        <f t="shared" si="0"/>
        <v>14</v>
      </c>
      <c r="U7" s="16">
        <f t="shared" ref="U7:U14" si="1">T7-T6</f>
        <v>12</v>
      </c>
    </row>
    <row r="8" spans="1:21" x14ac:dyDescent="0.3">
      <c r="A8" s="10" t="s">
        <v>6</v>
      </c>
      <c r="B8" s="11">
        <v>-8.5378849121775513E-2</v>
      </c>
      <c r="C8" s="11">
        <v>-0.13498067182084778</v>
      </c>
      <c r="D8" s="11">
        <v>-0.11418561843120949</v>
      </c>
      <c r="E8" s="11">
        <v>-0.11421881097957599</v>
      </c>
      <c r="F8" s="11">
        <v>4.0083333333333334E-3</v>
      </c>
      <c r="G8" s="11">
        <v>4.4333333333333334E-3</v>
      </c>
      <c r="H8" s="11">
        <v>4.5833333333333334E-3</v>
      </c>
      <c r="I8" s="11">
        <v>5.5000000000000005E-3</v>
      </c>
      <c r="J8" s="11">
        <v>4.5583333333333335E-3</v>
      </c>
      <c r="K8" s="11">
        <v>4.7916666666666672E-3</v>
      </c>
      <c r="L8" s="11">
        <v>5.1416666666666668E-3</v>
      </c>
      <c r="M8" s="11">
        <v>5.6916666666666669E-3</v>
      </c>
      <c r="N8" s="11">
        <v>4.5500000000000002E-3</v>
      </c>
      <c r="O8" s="11">
        <v>4.6249999999999998E-3</v>
      </c>
      <c r="P8" s="11">
        <v>5.8333333333333336E-3</v>
      </c>
      <c r="Q8" s="11">
        <v>9.2666666666666661E-3</v>
      </c>
      <c r="S8" s="17">
        <f>MIN($B$2:$B$277)+(MAX($B$2:$B$277)-MIN($B$2:$B$277))*0.4</f>
        <v>-4.8912200419672452E-2</v>
      </c>
      <c r="T8" s="16">
        <f t="shared" si="0"/>
        <v>41</v>
      </c>
      <c r="U8" s="16">
        <f t="shared" si="1"/>
        <v>27</v>
      </c>
    </row>
    <row r="9" spans="1:21" x14ac:dyDescent="0.3">
      <c r="A9" s="10" t="s">
        <v>7</v>
      </c>
      <c r="B9" s="11">
        <v>1.1851911371808476E-2</v>
      </c>
      <c r="C9" s="11">
        <v>3.2745834537238323E-4</v>
      </c>
      <c r="D9" s="11">
        <v>-5.4916878938195433E-2</v>
      </c>
      <c r="E9" s="11">
        <v>-9.1790277573799386E-2</v>
      </c>
      <c r="F9" s="11">
        <v>3.8333333333333331E-3</v>
      </c>
      <c r="G9" s="11">
        <v>4.1000000000000003E-3</v>
      </c>
      <c r="H9" s="11">
        <v>4.2166666666666663E-3</v>
      </c>
      <c r="I9" s="11">
        <v>5.058333333333334E-3</v>
      </c>
      <c r="J9" s="11">
        <v>4.208333333333333E-3</v>
      </c>
      <c r="K9" s="11">
        <v>4.2916666666666667E-3</v>
      </c>
      <c r="L9" s="11">
        <v>4.5249999999999995E-3</v>
      </c>
      <c r="M9" s="11">
        <v>5.2416666666666662E-3</v>
      </c>
      <c r="N9" s="11">
        <v>4.208333333333333E-3</v>
      </c>
      <c r="O9" s="11">
        <v>4.241666666666667E-3</v>
      </c>
      <c r="P9" s="11">
        <v>5.4249999999999993E-3</v>
      </c>
      <c r="Q9" s="11">
        <v>8.8666666666666668E-3</v>
      </c>
      <c r="S9" s="17">
        <f>MIN($B$2:$B$277)+(MAX($B$2:$B$277)-MIN($B$2:$B$277))*0.5</f>
        <v>-2.4447044400670581E-3</v>
      </c>
      <c r="T9" s="16">
        <f t="shared" si="0"/>
        <v>108</v>
      </c>
      <c r="U9" s="16">
        <f t="shared" si="1"/>
        <v>67</v>
      </c>
    </row>
    <row r="10" spans="1:21" x14ac:dyDescent="0.3">
      <c r="A10" s="10" t="s">
        <v>8</v>
      </c>
      <c r="B10" s="11">
        <v>-0.13003513926664154</v>
      </c>
      <c r="C10" s="11">
        <v>-6.7780944311792421E-2</v>
      </c>
      <c r="D10" s="11">
        <v>-0.1310931820196827</v>
      </c>
      <c r="E10" s="11">
        <v>-0.16494178525226391</v>
      </c>
      <c r="F10" s="11">
        <v>3.6083333333333332E-3</v>
      </c>
      <c r="G10" s="11">
        <v>3.8833333333333337E-3</v>
      </c>
      <c r="H10" s="11">
        <v>4.0416666666666665E-3</v>
      </c>
      <c r="I10" s="11">
        <v>5.0000000000000001E-3</v>
      </c>
      <c r="J10" s="11">
        <v>3.9583333333333337E-3</v>
      </c>
      <c r="K10" s="11">
        <v>4.0749999999999996E-3</v>
      </c>
      <c r="L10" s="11">
        <v>4.3416666666666664E-3</v>
      </c>
      <c r="M10" s="11">
        <v>5.1583333333333333E-3</v>
      </c>
      <c r="N10" s="11">
        <v>3.9583333333333337E-3</v>
      </c>
      <c r="O10" s="11">
        <v>4.0166666666666666E-3</v>
      </c>
      <c r="P10" s="11">
        <v>5.2666666666666669E-3</v>
      </c>
      <c r="Q10" s="11">
        <v>8.7583333333333332E-3</v>
      </c>
      <c r="S10" s="17">
        <f>MIN($B$2:$B$277)+(MAX($B$2:$B$277)-MIN($B$2:$B$277))*0.6</f>
        <v>4.4022791539538364E-2</v>
      </c>
      <c r="T10" s="16">
        <f t="shared" si="0"/>
        <v>210</v>
      </c>
      <c r="U10" s="16">
        <f t="shared" si="1"/>
        <v>102</v>
      </c>
    </row>
    <row r="11" spans="1:21" x14ac:dyDescent="0.3">
      <c r="A11" s="10" t="s">
        <v>9</v>
      </c>
      <c r="B11" s="11">
        <v>0.12359371077793758</v>
      </c>
      <c r="C11" s="11">
        <v>7.7274229529868566E-2</v>
      </c>
      <c r="D11" s="11">
        <v>0.11609730215093259</v>
      </c>
      <c r="E11" s="11">
        <v>0.2112703330751356</v>
      </c>
      <c r="F11" s="11">
        <v>3.3499999999999992E-3</v>
      </c>
      <c r="G11" s="11">
        <v>3.6333333333333335E-3</v>
      </c>
      <c r="H11" s="11">
        <v>3.8166666666666666E-3</v>
      </c>
      <c r="I11" s="11">
        <v>5.1749999999999999E-3</v>
      </c>
      <c r="J11" s="11">
        <v>3.6833333333333332E-3</v>
      </c>
      <c r="K11" s="11">
        <v>3.9500000000000004E-3</v>
      </c>
      <c r="L11" s="11">
        <v>4.7083333333333335E-3</v>
      </c>
      <c r="M11" s="11">
        <v>5.45E-3</v>
      </c>
      <c r="N11" s="11">
        <v>3.6833333333333332E-3</v>
      </c>
      <c r="O11" s="11">
        <v>3.7666666666666664E-3</v>
      </c>
      <c r="P11" s="11">
        <v>5.2583333333333327E-3</v>
      </c>
      <c r="Q11" s="11">
        <v>8.7083333333333336E-3</v>
      </c>
      <c r="S11" s="17">
        <f>MIN($B$2:$B$277)+(MAX($B$2:$B$277)-MIN($B$2:$B$277))*0.7</f>
        <v>9.0490287519143731E-2</v>
      </c>
      <c r="T11" s="16">
        <f t="shared" si="0"/>
        <v>255</v>
      </c>
      <c r="U11" s="16">
        <f t="shared" si="1"/>
        <v>45</v>
      </c>
    </row>
    <row r="12" spans="1:21" x14ac:dyDescent="0.3">
      <c r="A12" s="10" t="s">
        <v>10</v>
      </c>
      <c r="B12" s="11">
        <v>0.20521152791599806</v>
      </c>
      <c r="C12" s="11">
        <v>0.19881885989300724</v>
      </c>
      <c r="D12" s="11">
        <v>6.0741255416796237E-2</v>
      </c>
      <c r="E12" s="11">
        <v>0.12741806554756202</v>
      </c>
      <c r="F12" s="11">
        <v>3.3583333333333334E-3</v>
      </c>
      <c r="G12" s="11">
        <v>3.7750000000000001E-3</v>
      </c>
      <c r="H12" s="11">
        <v>3.9250000000000005E-3</v>
      </c>
      <c r="I12" s="11">
        <v>5.541666666666667E-3</v>
      </c>
      <c r="J12" s="11">
        <v>4.0666666666666663E-3</v>
      </c>
      <c r="K12" s="11">
        <v>4.45E-3</v>
      </c>
      <c r="L12" s="11">
        <v>5.1666666666666666E-3</v>
      </c>
      <c r="M12" s="11">
        <v>5.7333333333333333E-3</v>
      </c>
      <c r="N12" s="11">
        <v>4.0666666666666663E-3</v>
      </c>
      <c r="O12" s="11">
        <v>4.1416666666666659E-3</v>
      </c>
      <c r="P12" s="11">
        <v>5.6583333333333338E-3</v>
      </c>
      <c r="Q12" s="11">
        <v>9.0833333333333339E-3</v>
      </c>
      <c r="S12" s="17">
        <f>MIN($B$2:$B$277)+(MAX($B$2:$B$277)-MIN($B$2:$B$277))*0.8</f>
        <v>0.13695778349874921</v>
      </c>
      <c r="T12" s="16">
        <f t="shared" si="0"/>
        <v>272</v>
      </c>
      <c r="U12" s="16">
        <f t="shared" si="1"/>
        <v>17</v>
      </c>
    </row>
    <row r="13" spans="1:21" x14ac:dyDescent="0.3">
      <c r="A13" s="10" t="s">
        <v>11</v>
      </c>
      <c r="B13" s="11">
        <v>8.7983013430848883E-2</v>
      </c>
      <c r="C13" s="11">
        <v>4.6175746137359655E-2</v>
      </c>
      <c r="D13" s="11">
        <v>-4.2542188819747209E-2</v>
      </c>
      <c r="E13" s="11">
        <v>2.3964832671582496E-2</v>
      </c>
      <c r="F13" s="11">
        <v>3.3416666666666664E-3</v>
      </c>
      <c r="G13" s="11">
        <v>4.0333333333333332E-3</v>
      </c>
      <c r="H13" s="11">
        <v>4.1999999999999997E-3</v>
      </c>
      <c r="I13" s="11">
        <v>5.7833333333333339E-3</v>
      </c>
      <c r="J13" s="11">
        <v>4.45E-3</v>
      </c>
      <c r="K13" s="11">
        <v>4.9416666666666663E-3</v>
      </c>
      <c r="L13" s="11">
        <v>5.5500000000000002E-3</v>
      </c>
      <c r="M13" s="11">
        <v>5.841666666666666E-3</v>
      </c>
      <c r="N13" s="11">
        <v>4.4583333333333332E-3</v>
      </c>
      <c r="O13" s="11">
        <v>4.5333333333333337E-3</v>
      </c>
      <c r="P13" s="11">
        <v>5.9249999999999997E-3</v>
      </c>
      <c r="Q13" s="11">
        <v>9.3666666666666672E-3</v>
      </c>
      <c r="S13" s="17">
        <f>MIN($B$2:$B$277)+(MAX($B$2:$B$277)-MIN($B$2:$B$277))*0.9</f>
        <v>0.18342527947835457</v>
      </c>
      <c r="T13" s="16">
        <f t="shared" si="0"/>
        <v>273</v>
      </c>
      <c r="U13" s="16">
        <f t="shared" si="1"/>
        <v>1</v>
      </c>
    </row>
    <row r="14" spans="1:21" x14ac:dyDescent="0.3">
      <c r="A14" s="10" t="s">
        <v>12</v>
      </c>
      <c r="B14" s="11">
        <v>5.9818469068492308E-2</v>
      </c>
      <c r="C14" s="11">
        <v>0.16066596339953204</v>
      </c>
      <c r="D14" s="11">
        <v>0.12660005401026184</v>
      </c>
      <c r="E14" s="11">
        <v>7.1319761805844067E-2</v>
      </c>
      <c r="F14" s="11">
        <v>3.3250000000000003E-3</v>
      </c>
      <c r="G14" s="11">
        <v>3.9916666666666668E-3</v>
      </c>
      <c r="H14" s="11">
        <v>4.1333333333333335E-3</v>
      </c>
      <c r="I14" s="11">
        <v>5.816666666666667E-3</v>
      </c>
      <c r="J14" s="11">
        <v>4.3583333333333339E-3</v>
      </c>
      <c r="K14" s="11">
        <v>5.0666666666666664E-3</v>
      </c>
      <c r="L14" s="11">
        <v>5.7083333333333326E-3</v>
      </c>
      <c r="M14" s="11">
        <v>5.9166666666666664E-3</v>
      </c>
      <c r="N14" s="11">
        <v>4.3583333333333339E-3</v>
      </c>
      <c r="O14" s="11">
        <v>4.45E-3</v>
      </c>
      <c r="P14" s="11">
        <v>5.8916666666666666E-3</v>
      </c>
      <c r="Q14" s="11">
        <v>9.3583333333333348E-3</v>
      </c>
      <c r="S14" s="17">
        <f>MIN($B$2:$B$277)+(MAX($B$2:$B$277)-MIN($B$2:$B$277))*1</f>
        <v>0.22989277545796</v>
      </c>
      <c r="T14" s="16">
        <f t="shared" si="0"/>
        <v>275</v>
      </c>
      <c r="U14" s="16">
        <f t="shared" si="1"/>
        <v>2</v>
      </c>
    </row>
    <row r="15" spans="1:21" x14ac:dyDescent="0.3">
      <c r="A15" s="10" t="s">
        <v>13</v>
      </c>
      <c r="B15" s="11">
        <v>0.11028294165789787</v>
      </c>
      <c r="C15" s="11">
        <v>9.2665770963407917E-2</v>
      </c>
      <c r="D15" s="11">
        <v>3.6978442558767574E-2</v>
      </c>
      <c r="E15" s="11">
        <v>1.7450879007238882E-2</v>
      </c>
      <c r="F15" s="11">
        <v>3.3499999999999992E-3</v>
      </c>
      <c r="G15" s="11">
        <v>3.7833333333333334E-3</v>
      </c>
      <c r="H15" s="11">
        <v>3.8999999999999994E-3</v>
      </c>
      <c r="I15" s="11">
        <v>5.7166666666666676E-3</v>
      </c>
      <c r="J15" s="11">
        <v>4.1333333333333335E-3</v>
      </c>
      <c r="K15" s="11">
        <v>4.9333333333333338E-3</v>
      </c>
      <c r="L15" s="11">
        <v>5.5500000000000002E-3</v>
      </c>
      <c r="M15" s="11">
        <v>5.8333333333333336E-3</v>
      </c>
      <c r="N15" s="11">
        <v>4.1416666666666659E-3</v>
      </c>
      <c r="O15" s="11">
        <v>4.2333333333333329E-3</v>
      </c>
      <c r="P15" s="11">
        <v>5.7416666666666666E-3</v>
      </c>
      <c r="Q15" s="11">
        <v>9.208333333333334E-3</v>
      </c>
      <c r="S15" s="6"/>
      <c r="T15" s="4"/>
      <c r="U15" s="4"/>
    </row>
    <row r="16" spans="1:21" x14ac:dyDescent="0.3">
      <c r="A16" s="10" t="s">
        <v>14</v>
      </c>
      <c r="B16" s="11">
        <v>0.1071343951559826</v>
      </c>
      <c r="C16" s="11">
        <v>0.10809735633430988</v>
      </c>
      <c r="D16" s="11">
        <v>7.2259635388574675E-2</v>
      </c>
      <c r="E16" s="11">
        <v>0.17812222081057036</v>
      </c>
      <c r="F16" s="11">
        <v>3.3583333333333334E-3</v>
      </c>
      <c r="G16" s="11">
        <v>3.8666666666666663E-3</v>
      </c>
      <c r="H16" s="11">
        <v>4.0249999999999999E-3</v>
      </c>
      <c r="I16" s="11">
        <v>5.8916666666666666E-3</v>
      </c>
      <c r="J16" s="11">
        <v>4.3833333333333337E-3</v>
      </c>
      <c r="K16" s="11">
        <v>5.2500000000000003E-3</v>
      </c>
      <c r="L16" s="11">
        <v>5.8083333333333329E-3</v>
      </c>
      <c r="M16" s="11">
        <v>5.9750000000000003E-3</v>
      </c>
      <c r="N16" s="11">
        <v>4.3833333333333337E-3</v>
      </c>
      <c r="O16" s="11">
        <v>4.4749999999999998E-3</v>
      </c>
      <c r="P16" s="11">
        <v>5.8749999999999991E-3</v>
      </c>
      <c r="Q16" s="11">
        <v>9.2916666666666668E-3</v>
      </c>
      <c r="S16" s="4" t="s">
        <v>308</v>
      </c>
      <c r="T16" s="4"/>
      <c r="U16" s="4"/>
    </row>
    <row r="17" spans="1:21" x14ac:dyDescent="0.3">
      <c r="A17" s="10" t="s">
        <v>15</v>
      </c>
      <c r="B17" s="11">
        <v>-5.2075283263384495E-2</v>
      </c>
      <c r="C17" s="11">
        <v>-0.14578981723237597</v>
      </c>
      <c r="D17" s="11">
        <v>-0.16175625179649319</v>
      </c>
      <c r="E17" s="11">
        <v>-0.20910169308745818</v>
      </c>
      <c r="F17" s="11">
        <v>3.3583333333333334E-3</v>
      </c>
      <c r="G17" s="11">
        <v>3.9916666666666668E-3</v>
      </c>
      <c r="H17" s="11">
        <v>4.0916666666666671E-3</v>
      </c>
      <c r="I17" s="11">
        <v>5.9499999999999996E-3</v>
      </c>
      <c r="J17" s="11">
        <v>4.5166666666666662E-3</v>
      </c>
      <c r="K17" s="11">
        <v>5.3916666666666661E-3</v>
      </c>
      <c r="L17" s="11">
        <v>5.8833333333333333E-3</v>
      </c>
      <c r="M17" s="11">
        <v>6.083333333333333E-3</v>
      </c>
      <c r="N17" s="11">
        <v>4.5166666666666662E-3</v>
      </c>
      <c r="O17" s="11">
        <v>4.6249999999999998E-3</v>
      </c>
      <c r="P17" s="11">
        <v>6.000000000000001E-3</v>
      </c>
      <c r="Q17" s="11">
        <v>9.325E-3</v>
      </c>
      <c r="S17" s="16" t="s">
        <v>279</v>
      </c>
      <c r="T17" s="16" t="s">
        <v>280</v>
      </c>
      <c r="U17" s="16" t="s">
        <v>281</v>
      </c>
    </row>
    <row r="18" spans="1:21" x14ac:dyDescent="0.3">
      <c r="A18" s="10" t="s">
        <v>16</v>
      </c>
      <c r="B18" s="11">
        <v>-6.1746666833899864E-2</v>
      </c>
      <c r="C18" s="11">
        <v>-8.9608884473821634E-2</v>
      </c>
      <c r="D18" s="11">
        <v>-2.645520788684089E-2</v>
      </c>
      <c r="E18" s="11">
        <v>-4.8541041723479714E-2</v>
      </c>
      <c r="F18" s="11">
        <v>3.5499999999999998E-3</v>
      </c>
      <c r="G18" s="11">
        <v>4.0083333333333334E-3</v>
      </c>
      <c r="H18" s="11">
        <v>4.1083333333333328E-3</v>
      </c>
      <c r="I18" s="11">
        <v>5.7999999999999996E-3</v>
      </c>
      <c r="J18" s="11">
        <v>4.5166666666666662E-3</v>
      </c>
      <c r="K18" s="11">
        <v>5.2500000000000003E-3</v>
      </c>
      <c r="L18" s="11">
        <v>5.6666666666666671E-3</v>
      </c>
      <c r="M18" s="11">
        <v>5.908333333333334E-3</v>
      </c>
      <c r="N18" s="11">
        <v>4.5166666666666662E-3</v>
      </c>
      <c r="O18" s="11">
        <v>4.6083333333333332E-3</v>
      </c>
      <c r="P18" s="11">
        <v>5.8916666666666666E-3</v>
      </c>
      <c r="Q18" s="11">
        <v>9.1916666666666657E-3</v>
      </c>
      <c r="S18" s="17">
        <f>MIN($C$2:$C$277)+(MAX($C$2:$C$277)-MIN($C$2:$C$277))*0.1</f>
        <v>-0.24868055750301465</v>
      </c>
      <c r="T18" s="16">
        <f>FREQUENCY($C$2:$C$277,S18)</f>
        <v>2</v>
      </c>
      <c r="U18" s="16">
        <f>T18</f>
        <v>2</v>
      </c>
    </row>
    <row r="19" spans="1:21" x14ac:dyDescent="0.3">
      <c r="A19" s="10" t="s">
        <v>17</v>
      </c>
      <c r="B19" s="11">
        <v>-6.2815816913081704E-2</v>
      </c>
      <c r="C19" s="11">
        <v>-8.1627799616692101E-2</v>
      </c>
      <c r="D19" s="11">
        <v>-0.12898453735338675</v>
      </c>
      <c r="E19" s="11">
        <v>-0.12797363141301227</v>
      </c>
      <c r="F19" s="11">
        <v>3.5916666666666666E-3</v>
      </c>
      <c r="G19" s="11">
        <v>4.0416666666666665E-3</v>
      </c>
      <c r="H19" s="11">
        <v>4.1333333333333335E-3</v>
      </c>
      <c r="I19" s="11">
        <v>5.5333333333333337E-3</v>
      </c>
      <c r="J19" s="11">
        <v>4.4833333333333331E-3</v>
      </c>
      <c r="K19" s="11">
        <v>4.9416666666666663E-3</v>
      </c>
      <c r="L19" s="11">
        <v>5.2749999999999993E-3</v>
      </c>
      <c r="M19" s="11">
        <v>5.6333333333333331E-3</v>
      </c>
      <c r="N19" s="11">
        <v>4.4833333333333331E-3</v>
      </c>
      <c r="O19" s="11">
        <v>4.5583333333333335E-3</v>
      </c>
      <c r="P19" s="11">
        <v>5.6333333333333331E-3</v>
      </c>
      <c r="Q19" s="11">
        <v>8.9083333333333323E-3</v>
      </c>
      <c r="S19" s="17">
        <f>MIN($C$2:$C$277)+(MAX($C$2:$C$277)-MIN($C$2:$C$277))*0.2</f>
        <v>-0.18061545939781445</v>
      </c>
      <c r="T19" s="16">
        <f t="shared" ref="T19:T27" si="2">FREQUENCY($C$2:$C$277,S19)</f>
        <v>3</v>
      </c>
      <c r="U19" s="16">
        <f>T19-T18</f>
        <v>1</v>
      </c>
    </row>
    <row r="20" spans="1:21" x14ac:dyDescent="0.3">
      <c r="A20" s="10" t="s">
        <v>18</v>
      </c>
      <c r="B20" s="11">
        <v>-3.7770836007816645E-2</v>
      </c>
      <c r="C20" s="11">
        <v>3.4273702169144529E-3</v>
      </c>
      <c r="D20" s="11">
        <v>-3.5808160459379637E-2</v>
      </c>
      <c r="E20" s="11">
        <v>-3.664749383730477E-2</v>
      </c>
      <c r="F20" s="11">
        <v>3.5750000000000001E-3</v>
      </c>
      <c r="G20" s="11">
        <v>4.0916666666666671E-3</v>
      </c>
      <c r="H20" s="11">
        <v>4.1833333333333332E-3</v>
      </c>
      <c r="I20" s="11">
        <v>5.3249999999999999E-3</v>
      </c>
      <c r="J20" s="11">
        <v>4.45E-3</v>
      </c>
      <c r="K20" s="11">
        <v>4.7499999999999999E-3</v>
      </c>
      <c r="L20" s="11">
        <v>5.0916666666666671E-3</v>
      </c>
      <c r="M20" s="11">
        <v>5.45E-3</v>
      </c>
      <c r="N20" s="11">
        <v>4.45E-3</v>
      </c>
      <c r="O20" s="11">
        <v>4.5166666666666662E-3</v>
      </c>
      <c r="P20" s="11">
        <v>5.4916666666666664E-3</v>
      </c>
      <c r="Q20" s="11">
        <v>8.7499999999999991E-3</v>
      </c>
      <c r="S20" s="17">
        <f>MIN($C$2:$C$277)+(MAX($C$2:$C$277)-MIN($C$2:$C$277))*0.3</f>
        <v>-0.11255036129261428</v>
      </c>
      <c r="T20" s="16">
        <f t="shared" si="2"/>
        <v>13</v>
      </c>
      <c r="U20" s="16">
        <f t="shared" ref="U20:U27" si="3">T20-T19</f>
        <v>10</v>
      </c>
    </row>
    <row r="21" spans="1:21" x14ac:dyDescent="0.3">
      <c r="A21" s="10" t="s">
        <v>19</v>
      </c>
      <c r="B21" s="11">
        <v>2.8372789398004694E-2</v>
      </c>
      <c r="C21" s="11">
        <v>3.4111092556889815E-2</v>
      </c>
      <c r="D21" s="11">
        <v>2.2815442363746923E-2</v>
      </c>
      <c r="E21" s="11">
        <v>8.3589218696690157E-3</v>
      </c>
      <c r="F21" s="11">
        <v>3.5916666666666666E-3</v>
      </c>
      <c r="G21" s="11">
        <v>4.0000000000000001E-3</v>
      </c>
      <c r="H21" s="11">
        <v>4.0833333333333338E-3</v>
      </c>
      <c r="I21" s="11">
        <v>5.0749999999999997E-3</v>
      </c>
      <c r="J21" s="11">
        <v>4.1999999999999997E-3</v>
      </c>
      <c r="K21" s="11">
        <v>4.4749999999999998E-3</v>
      </c>
      <c r="L21" s="11">
        <v>4.8250000000000003E-3</v>
      </c>
      <c r="M21" s="11">
        <v>5.2000000000000006E-3</v>
      </c>
      <c r="N21" s="11">
        <v>4.1999999999999997E-3</v>
      </c>
      <c r="O21" s="11">
        <v>4.2750000000000002E-3</v>
      </c>
      <c r="P21" s="11">
        <v>5.1916666666666665E-3</v>
      </c>
      <c r="Q21" s="11">
        <v>8.3750000000000005E-3</v>
      </c>
      <c r="S21" s="17">
        <f>MIN($C$2:$C$277)+(MAX($C$2:$C$277)-MIN($C$2:$C$277))*0.4</f>
        <v>-4.4485263187414026E-2</v>
      </c>
      <c r="T21" s="16">
        <f t="shared" si="2"/>
        <v>48</v>
      </c>
      <c r="U21" s="16">
        <f t="shared" si="3"/>
        <v>35</v>
      </c>
    </row>
    <row r="22" spans="1:21" x14ac:dyDescent="0.3">
      <c r="A22" s="10" t="s">
        <v>20</v>
      </c>
      <c r="B22" s="11">
        <v>-9.8337970103642661E-2</v>
      </c>
      <c r="C22" s="11">
        <v>-0.1313564298297123</v>
      </c>
      <c r="D22" s="11">
        <v>-0.13765248590466425</v>
      </c>
      <c r="E22" s="11">
        <v>-0.20977837929284385</v>
      </c>
      <c r="F22" s="11">
        <v>3.6083333333333332E-3</v>
      </c>
      <c r="G22" s="11">
        <v>4.0083333333333334E-3</v>
      </c>
      <c r="H22" s="11">
        <v>4.0916666666666671E-3</v>
      </c>
      <c r="I22" s="11">
        <v>5.058333333333334E-3</v>
      </c>
      <c r="J22" s="11">
        <v>4.1916666666666673E-3</v>
      </c>
      <c r="K22" s="11">
        <v>4.4749999999999998E-3</v>
      </c>
      <c r="L22" s="11">
        <v>4.8083333333333329E-3</v>
      </c>
      <c r="M22" s="11">
        <v>5.1333333333333335E-3</v>
      </c>
      <c r="N22" s="11">
        <v>4.1916666666666673E-3</v>
      </c>
      <c r="O22" s="11">
        <v>4.2666666666666669E-3</v>
      </c>
      <c r="P22" s="11">
        <v>5.0499999999999998E-3</v>
      </c>
      <c r="Q22" s="11">
        <v>8.2500000000000004E-3</v>
      </c>
      <c r="S22" s="17">
        <f>MIN($C$2:$C$277)+(MAX($C$2:$C$277)-MIN($C$2:$C$277))*0.5</f>
        <v>2.3579834917786147E-2</v>
      </c>
      <c r="T22" s="16">
        <f t="shared" si="2"/>
        <v>167</v>
      </c>
      <c r="U22" s="16">
        <f t="shared" si="3"/>
        <v>119</v>
      </c>
    </row>
    <row r="23" spans="1:21" x14ac:dyDescent="0.3">
      <c r="A23" s="10" t="s">
        <v>21</v>
      </c>
      <c r="B23" s="11">
        <v>3.2981087432654946E-2</v>
      </c>
      <c r="C23" s="11">
        <v>1.4533901169472086E-2</v>
      </c>
      <c r="D23" s="11">
        <v>2.891039204964211E-2</v>
      </c>
      <c r="E23" s="11">
        <v>2.868764718475696E-2</v>
      </c>
      <c r="F23" s="11">
        <v>3.6083333333333332E-3</v>
      </c>
      <c r="G23" s="11">
        <v>4.0916666666666671E-3</v>
      </c>
      <c r="H23" s="11">
        <v>4.1666666666666666E-3</v>
      </c>
      <c r="I23" s="11">
        <v>5.0000000000000001E-3</v>
      </c>
      <c r="J23" s="11">
        <v>4.2833333333333326E-3</v>
      </c>
      <c r="K23" s="11">
        <v>4.4916666666666664E-3</v>
      </c>
      <c r="L23" s="11">
        <v>4.7583333333333332E-3</v>
      </c>
      <c r="M23" s="11">
        <v>5.0916666666666671E-3</v>
      </c>
      <c r="N23" s="11">
        <v>4.2833333333333326E-3</v>
      </c>
      <c r="O23" s="11">
        <v>4.3416666666666664E-3</v>
      </c>
      <c r="P23" s="11">
        <v>5.0083333333333334E-3</v>
      </c>
      <c r="Q23" s="11">
        <v>8.1000000000000013E-3</v>
      </c>
      <c r="S23" s="17">
        <f>MIN($C$2:$C$277)+(MAX($C$2:$C$277)-MIN($C$2:$C$277))*0.6</f>
        <v>9.1644933022986319E-2</v>
      </c>
      <c r="T23" s="16">
        <f t="shared" si="2"/>
        <v>249</v>
      </c>
      <c r="U23" s="16">
        <f t="shared" si="3"/>
        <v>82</v>
      </c>
    </row>
    <row r="24" spans="1:21" x14ac:dyDescent="0.3">
      <c r="A24" s="10" t="s">
        <v>22</v>
      </c>
      <c r="B24" s="11">
        <v>9.7424706719905982E-2</v>
      </c>
      <c r="C24" s="11">
        <v>6.4598880597014879E-2</v>
      </c>
      <c r="D24" s="11">
        <v>7.9719019340528351E-3</v>
      </c>
      <c r="E24" s="11">
        <v>8.0124869927159212E-2</v>
      </c>
      <c r="F24" s="11">
        <v>3.5916666666666666E-3</v>
      </c>
      <c r="G24" s="11">
        <v>4.0916666666666671E-3</v>
      </c>
      <c r="H24" s="11">
        <v>4.208333333333333E-3</v>
      </c>
      <c r="I24" s="11">
        <v>4.7416666666666675E-3</v>
      </c>
      <c r="J24" s="11">
        <v>4.1999999999999997E-3</v>
      </c>
      <c r="K24" s="11">
        <v>4.4083333333333335E-3</v>
      </c>
      <c r="L24" s="11">
        <v>4.5999999999999999E-3</v>
      </c>
      <c r="M24" s="11">
        <v>4.8333333333333327E-3</v>
      </c>
      <c r="N24" s="11">
        <v>4.1999999999999997E-3</v>
      </c>
      <c r="O24" s="11">
        <v>4.2833333333333326E-3</v>
      </c>
      <c r="P24" s="11">
        <v>4.9166666666666673E-3</v>
      </c>
      <c r="Q24" s="11">
        <v>7.8333333333333328E-3</v>
      </c>
      <c r="S24" s="17">
        <f>MIN($C$2:$C$277)+(MAX($C$2:$C$277)-MIN($C$2:$C$277))*0.7</f>
        <v>0.15971003112818655</v>
      </c>
      <c r="T24" s="16">
        <f t="shared" si="2"/>
        <v>266</v>
      </c>
      <c r="U24" s="16">
        <f t="shared" si="3"/>
        <v>17</v>
      </c>
    </row>
    <row r="25" spans="1:21" x14ac:dyDescent="0.3">
      <c r="A25" s="10" t="s">
        <v>23</v>
      </c>
      <c r="B25" s="11">
        <v>-0.13305786289469604</v>
      </c>
      <c r="C25" s="11">
        <v>-0.14852135815991249</v>
      </c>
      <c r="D25" s="11">
        <v>-0.1598734583467058</v>
      </c>
      <c r="E25" s="11">
        <v>-0.14527938342967239</v>
      </c>
      <c r="F25" s="11">
        <v>3.6083333333333332E-3</v>
      </c>
      <c r="G25" s="11">
        <v>4.0833333333333338E-3</v>
      </c>
      <c r="H25" s="11">
        <v>4.1916666666666673E-3</v>
      </c>
      <c r="I25" s="11">
        <v>4.7666666666666664E-3</v>
      </c>
      <c r="J25" s="11">
        <v>4.1916666666666673E-3</v>
      </c>
      <c r="K25" s="11">
        <v>4.4000000000000003E-3</v>
      </c>
      <c r="L25" s="11">
        <v>4.6416666666666663E-3</v>
      </c>
      <c r="M25" s="11">
        <v>4.8083333333333329E-3</v>
      </c>
      <c r="N25" s="11">
        <v>4.1916666666666673E-3</v>
      </c>
      <c r="O25" s="11">
        <v>4.2833333333333326E-3</v>
      </c>
      <c r="P25" s="11">
        <v>4.8999999999999998E-3</v>
      </c>
      <c r="Q25" s="11">
        <v>7.7583333333333332E-3</v>
      </c>
      <c r="S25" s="17">
        <f>MIN($C$2:$C$277)+(MAX($C$2:$C$277)-MIN($C$2:$C$277))*0.8</f>
        <v>0.22777512923338683</v>
      </c>
      <c r="T25" s="16">
        <f t="shared" si="2"/>
        <v>275</v>
      </c>
      <c r="U25" s="16">
        <f t="shared" si="3"/>
        <v>9</v>
      </c>
    </row>
    <row r="26" spans="1:21" x14ac:dyDescent="0.3">
      <c r="A26" s="10" t="s">
        <v>24</v>
      </c>
      <c r="B26" s="11">
        <v>-0.23478218433809411</v>
      </c>
      <c r="C26" s="11">
        <v>0.36390532544378718</v>
      </c>
      <c r="D26" s="11">
        <v>2.1549334206505129</v>
      </c>
      <c r="E26" s="11">
        <v>-0.9021866546438233</v>
      </c>
      <c r="F26" s="11">
        <v>3.5833333333333329E-3</v>
      </c>
      <c r="G26" s="11">
        <v>3.9166666666666664E-3</v>
      </c>
      <c r="H26" s="11">
        <v>4.0333333333333332E-3</v>
      </c>
      <c r="I26" s="11">
        <v>4.4333333333333334E-3</v>
      </c>
      <c r="J26" s="11">
        <v>3.9916666666666668E-3</v>
      </c>
      <c r="K26" s="11">
        <v>4.1333333333333335E-3</v>
      </c>
      <c r="L26" s="11">
        <v>4.2916666666666667E-3</v>
      </c>
      <c r="M26" s="11">
        <v>4.5249999999999995E-3</v>
      </c>
      <c r="N26" s="11">
        <v>3.9916666666666668E-3</v>
      </c>
      <c r="O26" s="11">
        <v>4.0666666666666663E-3</v>
      </c>
      <c r="P26" s="11">
        <v>4.5666666666666668E-3</v>
      </c>
      <c r="Q26" s="11">
        <v>7.3749999999999996E-3</v>
      </c>
      <c r="S26" s="17">
        <f>MIN($C$2:$C$277)+(MAX($C$2:$C$277)-MIN($C$2:$C$277))*0.9</f>
        <v>0.29584022733858695</v>
      </c>
      <c r="T26" s="16">
        <f t="shared" si="2"/>
        <v>275</v>
      </c>
      <c r="U26" s="16">
        <f t="shared" si="3"/>
        <v>0</v>
      </c>
    </row>
    <row r="27" spans="1:21" x14ac:dyDescent="0.3">
      <c r="A27" s="10" t="s">
        <v>25</v>
      </c>
      <c r="B27" s="11">
        <v>0.1914712697434153</v>
      </c>
      <c r="C27" s="11">
        <v>-0.30161275110817692</v>
      </c>
      <c r="D27" s="11">
        <v>-0.69869056061995127</v>
      </c>
      <c r="E27" s="11">
        <v>-3.7105323807328866E-2</v>
      </c>
      <c r="F27" s="11">
        <v>3.6000000000000003E-3</v>
      </c>
      <c r="G27" s="11">
        <v>3.7833333333333334E-3</v>
      </c>
      <c r="H27" s="11">
        <v>3.8833333333333337E-3</v>
      </c>
      <c r="I27" s="11">
        <v>4.1833333333333332E-3</v>
      </c>
      <c r="J27" s="11">
        <v>3.8583333333333334E-3</v>
      </c>
      <c r="K27" s="11">
        <v>3.9416666666666671E-3</v>
      </c>
      <c r="L27" s="11">
        <v>4.0749999999999996E-3</v>
      </c>
      <c r="M27" s="11">
        <v>4.2916666666666667E-3</v>
      </c>
      <c r="N27" s="11">
        <v>3.8583333333333334E-3</v>
      </c>
      <c r="O27" s="11">
        <v>3.933333333333333E-3</v>
      </c>
      <c r="P27" s="11">
        <v>4.3749999999999995E-3</v>
      </c>
      <c r="Q27" s="11">
        <v>7.1500000000000001E-3</v>
      </c>
      <c r="S27" s="17">
        <f>MIN($C$2:$C$277)+(MAX($C$2:$C$277)-MIN($C$2:$C$277))*1</f>
        <v>0.36390532544378718</v>
      </c>
      <c r="T27" s="16">
        <f t="shared" si="2"/>
        <v>276</v>
      </c>
      <c r="U27" s="16">
        <f t="shared" si="3"/>
        <v>1</v>
      </c>
    </row>
    <row r="28" spans="1:21" x14ac:dyDescent="0.3">
      <c r="A28" s="10" t="s">
        <v>26</v>
      </c>
      <c r="B28" s="11">
        <v>-6.7799029403368544E-2</v>
      </c>
      <c r="C28" s="11">
        <v>-5.5850294202758839E-2</v>
      </c>
      <c r="D28" s="11">
        <v>-8.9356449853608119E-2</v>
      </c>
      <c r="E28" s="11">
        <v>-9.5978937290569596E-2</v>
      </c>
      <c r="F28" s="11">
        <v>3.5416666666666669E-3</v>
      </c>
      <c r="G28" s="11">
        <v>3.9666666666666661E-3</v>
      </c>
      <c r="H28" s="11">
        <v>4.1999999999999997E-3</v>
      </c>
      <c r="I28" s="11">
        <v>4.2166666666666663E-3</v>
      </c>
      <c r="J28" s="11">
        <v>3.933333333333333E-3</v>
      </c>
      <c r="K28" s="11">
        <v>3.9833333333333335E-3</v>
      </c>
      <c r="L28" s="11">
        <v>4.1166666666666669E-3</v>
      </c>
      <c r="M28" s="11">
        <v>4.333333333333334E-3</v>
      </c>
      <c r="N28" s="11">
        <v>3.9250000000000005E-3</v>
      </c>
      <c r="O28" s="11">
        <v>4.0333333333333332E-3</v>
      </c>
      <c r="P28" s="11">
        <v>4.5333333333333337E-3</v>
      </c>
      <c r="Q28" s="11">
        <v>7.1833333333333332E-3</v>
      </c>
      <c r="S28" s="6"/>
      <c r="T28" s="4"/>
      <c r="U28" s="4"/>
    </row>
    <row r="29" spans="1:21" x14ac:dyDescent="0.3">
      <c r="A29" s="10" t="s">
        <v>27</v>
      </c>
      <c r="B29" s="11">
        <v>0.1219376818251417</v>
      </c>
      <c r="C29" s="11">
        <v>0.13532897425418886</v>
      </c>
      <c r="D29" s="11">
        <v>0.11602836879432625</v>
      </c>
      <c r="E29" s="11">
        <v>0.13317447709822594</v>
      </c>
      <c r="F29" s="11">
        <v>3.5499999999999998E-3</v>
      </c>
      <c r="G29" s="11">
        <v>3.8499999999999997E-3</v>
      </c>
      <c r="H29" s="11">
        <v>4.3749999999999995E-3</v>
      </c>
      <c r="I29" s="11">
        <v>4.1250000000000002E-3</v>
      </c>
      <c r="J29" s="11">
        <v>3.8333333333333331E-3</v>
      </c>
      <c r="K29" s="11">
        <v>3.8333333333333331E-3</v>
      </c>
      <c r="L29" s="11">
        <v>3.9749999999999994E-3</v>
      </c>
      <c r="M29" s="11">
        <v>4.1916666666666673E-3</v>
      </c>
      <c r="N29" s="11">
        <v>3.8333333333333331E-3</v>
      </c>
      <c r="O29" s="11">
        <v>3.9416666666666671E-3</v>
      </c>
      <c r="P29" s="11">
        <v>4.4916666666666664E-3</v>
      </c>
      <c r="Q29" s="11">
        <v>7.0833333333333338E-3</v>
      </c>
      <c r="S29" s="4" t="s">
        <v>309</v>
      </c>
      <c r="T29" s="4"/>
      <c r="U29" s="4"/>
    </row>
    <row r="30" spans="1:21" x14ac:dyDescent="0.3">
      <c r="A30" s="10" t="s">
        <v>28</v>
      </c>
      <c r="B30" s="11">
        <v>5.2645046827820154E-2</v>
      </c>
      <c r="C30" s="11">
        <v>9.7762899771430725E-2</v>
      </c>
      <c r="D30" s="11">
        <v>7.0496526012540195E-2</v>
      </c>
      <c r="E30" s="11">
        <v>0.1023364485981309</v>
      </c>
      <c r="F30" s="11">
        <v>3.4083333333333331E-3</v>
      </c>
      <c r="G30" s="11">
        <v>3.6583333333333329E-3</v>
      </c>
      <c r="H30" s="11">
        <v>4.1916666666666673E-3</v>
      </c>
      <c r="I30" s="11">
        <v>3.8416666666666668E-3</v>
      </c>
      <c r="J30" s="11">
        <v>3.5833333333333329E-3</v>
      </c>
      <c r="K30" s="11">
        <v>3.5583333333333331E-3</v>
      </c>
      <c r="L30" s="11">
        <v>3.6749999999999999E-3</v>
      </c>
      <c r="M30" s="11">
        <v>3.8999999999999994E-3</v>
      </c>
      <c r="N30" s="11">
        <v>3.5833333333333329E-3</v>
      </c>
      <c r="O30" s="11">
        <v>3.7499999999999999E-3</v>
      </c>
      <c r="P30" s="11">
        <v>4.3833333333333337E-3</v>
      </c>
      <c r="Q30" s="11">
        <v>6.9500000000000004E-3</v>
      </c>
      <c r="S30" s="16" t="s">
        <v>279</v>
      </c>
      <c r="T30" s="16" t="s">
        <v>280</v>
      </c>
      <c r="U30" s="16" t="s">
        <v>281</v>
      </c>
    </row>
    <row r="31" spans="1:21" x14ac:dyDescent="0.3">
      <c r="A31" s="10" t="s">
        <v>29</v>
      </c>
      <c r="B31" s="11">
        <v>6.2118142776112217E-2</v>
      </c>
      <c r="C31" s="11">
        <v>2.7297319452414093E-2</v>
      </c>
      <c r="D31" s="11">
        <v>3.2425729512954519E-2</v>
      </c>
      <c r="E31" s="11">
        <v>5.4472233997456557E-2</v>
      </c>
      <c r="F31" s="11">
        <v>3.3583333333333334E-3</v>
      </c>
      <c r="G31" s="11">
        <v>3.5666666666666672E-3</v>
      </c>
      <c r="H31" s="11">
        <v>3.908333333333334E-3</v>
      </c>
      <c r="I31" s="11">
        <v>3.7166666666666667E-3</v>
      </c>
      <c r="J31" s="11">
        <v>3.5666666666666672E-3</v>
      </c>
      <c r="K31" s="11">
        <v>3.3916666666666665E-3</v>
      </c>
      <c r="L31" s="11">
        <v>3.4916666666666672E-3</v>
      </c>
      <c r="M31" s="11">
        <v>3.7166666666666667E-3</v>
      </c>
      <c r="N31" s="11">
        <v>3.5750000000000001E-3</v>
      </c>
      <c r="O31" s="11">
        <v>3.7249999999999996E-3</v>
      </c>
      <c r="P31" s="11">
        <v>4.4000000000000003E-3</v>
      </c>
      <c r="Q31" s="11">
        <v>6.9749999999999994E-3</v>
      </c>
      <c r="S31" s="17">
        <f>MIN($D$2:$D$277)+(MAX($D$2:$D$277)-MIN($D$2:$D$277))*0.1</f>
        <v>-0.41332816249290483</v>
      </c>
      <c r="T31" s="16">
        <f>FREQUENCY($D$2:$D$277,S31)</f>
        <v>1</v>
      </c>
      <c r="U31" s="16">
        <f>T31</f>
        <v>1</v>
      </c>
    </row>
    <row r="32" spans="1:21" x14ac:dyDescent="0.3">
      <c r="A32" s="10" t="s">
        <v>30</v>
      </c>
      <c r="B32" s="11">
        <v>7.6032225579053439E-2</v>
      </c>
      <c r="C32" s="11">
        <v>-1.8720076603894058E-2</v>
      </c>
      <c r="D32" s="11">
        <v>1.1167616467762143E-2</v>
      </c>
      <c r="E32" s="11">
        <v>-8.4422110552764169E-3</v>
      </c>
      <c r="F32" s="11">
        <v>3.2083333333333334E-3</v>
      </c>
      <c r="G32" s="11">
        <v>3.4583333333333337E-3</v>
      </c>
      <c r="H32" s="11">
        <v>3.7833333333333334E-3</v>
      </c>
      <c r="I32" s="11">
        <v>4.0500000000000006E-3</v>
      </c>
      <c r="J32" s="11">
        <v>3.5583333333333331E-3</v>
      </c>
      <c r="K32" s="11">
        <v>3.6416666666666667E-3</v>
      </c>
      <c r="L32" s="11">
        <v>3.8583333333333334E-3</v>
      </c>
      <c r="M32" s="11">
        <v>4.1250000000000002E-3</v>
      </c>
      <c r="N32" s="11">
        <v>3.5583333333333331E-3</v>
      </c>
      <c r="O32" s="11">
        <v>3.6583333333333329E-3</v>
      </c>
      <c r="P32" s="11">
        <v>4.7083333333333335E-3</v>
      </c>
      <c r="Q32" s="11">
        <v>7.2833333333333335E-3</v>
      </c>
      <c r="S32" s="17">
        <f>MIN($D$2:$D$277)+(MAX($D$2:$D$277)-MIN($D$2:$D$277))*0.2</f>
        <v>-0.12796576436585838</v>
      </c>
      <c r="T32" s="16">
        <f t="shared" ref="T32:T40" si="4">FREQUENCY($D$2:$D$277,S32)</f>
        <v>12</v>
      </c>
      <c r="U32" s="16">
        <f>T32-T31</f>
        <v>11</v>
      </c>
    </row>
    <row r="33" spans="1:21" x14ac:dyDescent="0.3">
      <c r="A33" s="10" t="s">
        <v>31</v>
      </c>
      <c r="B33" s="11">
        <v>6.4604869471504858E-2</v>
      </c>
      <c r="C33" s="11">
        <v>8.1269211378014905E-2</v>
      </c>
      <c r="D33" s="11">
        <v>3.035281035179941E-2</v>
      </c>
      <c r="E33" s="11">
        <v>4.2570443948915645E-3</v>
      </c>
      <c r="F33" s="11">
        <v>3.1416666666666663E-3</v>
      </c>
      <c r="G33" s="11">
        <v>3.2499999999999999E-3</v>
      </c>
      <c r="H33" s="11">
        <v>3.5499999999999998E-3</v>
      </c>
      <c r="I33" s="11">
        <v>4.2499999999999994E-3</v>
      </c>
      <c r="J33" s="11">
        <v>3.4583333333333337E-3</v>
      </c>
      <c r="K33" s="11">
        <v>3.8499999999999997E-3</v>
      </c>
      <c r="L33" s="11">
        <v>4.1083333333333328E-3</v>
      </c>
      <c r="M33" s="11">
        <v>4.3833333333333337E-3</v>
      </c>
      <c r="N33" s="11">
        <v>3.4666666666666665E-3</v>
      </c>
      <c r="O33" s="11">
        <v>3.5250000000000004E-3</v>
      </c>
      <c r="P33" s="11">
        <v>4.8916666666666666E-3</v>
      </c>
      <c r="Q33" s="11">
        <v>7.5500000000000003E-3</v>
      </c>
      <c r="S33" s="17">
        <f>MIN($D$2:$D$277)+(MAX($D$2:$D$277)-MIN($D$2:$D$277))*0.3</f>
        <v>0.15739663376118795</v>
      </c>
      <c r="T33" s="16">
        <f t="shared" si="4"/>
        <v>268</v>
      </c>
      <c r="U33" s="16">
        <f t="shared" ref="U33:U40" si="5">T33-T32</f>
        <v>256</v>
      </c>
    </row>
    <row r="34" spans="1:21" x14ac:dyDescent="0.3">
      <c r="A34" s="10" t="s">
        <v>32</v>
      </c>
      <c r="B34" s="11">
        <v>-8.1782703091492701E-2</v>
      </c>
      <c r="C34" s="11">
        <v>-9.0954214547861179E-2</v>
      </c>
      <c r="D34" s="11">
        <v>-6.4853197282248767E-2</v>
      </c>
      <c r="E34" s="11">
        <v>-9.4469115865966888E-2</v>
      </c>
      <c r="F34" s="11">
        <v>3.133333333333333E-3</v>
      </c>
      <c r="G34" s="11">
        <v>3.1916666666666669E-3</v>
      </c>
      <c r="H34" s="11">
        <v>3.4333333333333334E-3</v>
      </c>
      <c r="I34" s="11">
        <v>3.8833333333333337E-3</v>
      </c>
      <c r="J34" s="11">
        <v>3.3916666666666665E-3</v>
      </c>
      <c r="K34" s="11">
        <v>3.5416666666666669E-3</v>
      </c>
      <c r="L34" s="11">
        <v>3.7166666666666667E-3</v>
      </c>
      <c r="M34" s="11">
        <v>3.9749999999999994E-3</v>
      </c>
      <c r="N34" s="11">
        <v>3.4000000000000002E-3</v>
      </c>
      <c r="O34" s="11">
        <v>3.4250000000000005E-3</v>
      </c>
      <c r="P34" s="11">
        <v>4.3666666666666671E-3</v>
      </c>
      <c r="Q34" s="11">
        <v>7.3916666666666653E-3</v>
      </c>
      <c r="S34" s="17">
        <f>MIN($D$2:$D$277)+(MAX($D$2:$D$277)-MIN($D$2:$D$277))*0.4</f>
        <v>0.44275903188823451</v>
      </c>
      <c r="T34" s="16">
        <f t="shared" si="4"/>
        <v>275</v>
      </c>
      <c r="U34" s="16">
        <f t="shared" si="5"/>
        <v>7</v>
      </c>
    </row>
    <row r="35" spans="1:21" x14ac:dyDescent="0.3">
      <c r="A35" s="10" t="s">
        <v>33</v>
      </c>
      <c r="B35" s="11">
        <v>0.13191754790605906</v>
      </c>
      <c r="C35" s="11">
        <v>5.1077982030875137E-2</v>
      </c>
      <c r="D35" s="11">
        <v>4.7580327868852426E-2</v>
      </c>
      <c r="E35" s="11">
        <v>3.3883192153366097E-2</v>
      </c>
      <c r="F35" s="11">
        <v>3.1416666666666663E-3</v>
      </c>
      <c r="G35" s="11">
        <v>3.2750000000000001E-3</v>
      </c>
      <c r="H35" s="11">
        <v>3.4250000000000005E-3</v>
      </c>
      <c r="I35" s="11">
        <v>3.8999999999999994E-3</v>
      </c>
      <c r="J35" s="11">
        <v>3.4250000000000005E-3</v>
      </c>
      <c r="K35" s="11">
        <v>3.5666666666666672E-3</v>
      </c>
      <c r="L35" s="11">
        <v>3.7750000000000001E-3</v>
      </c>
      <c r="M35" s="11">
        <v>4.0583333333333331E-3</v>
      </c>
      <c r="N35" s="11">
        <v>3.4250000000000005E-3</v>
      </c>
      <c r="O35" s="11">
        <v>3.4583333333333337E-3</v>
      </c>
      <c r="P35" s="11">
        <v>4.3166666666666666E-3</v>
      </c>
      <c r="Q35" s="11">
        <v>7.5416666666666679E-3</v>
      </c>
      <c r="S35" s="17">
        <f>MIN($D$2:$D$277)+(MAX($D$2:$D$277)-MIN($D$2:$D$277))*0.5</f>
        <v>0.72812143001528085</v>
      </c>
      <c r="T35" s="16">
        <f t="shared" si="4"/>
        <v>275</v>
      </c>
      <c r="U35" s="16">
        <f t="shared" si="5"/>
        <v>0</v>
      </c>
    </row>
    <row r="36" spans="1:21" x14ac:dyDescent="0.3">
      <c r="A36" s="10" t="s">
        <v>34</v>
      </c>
      <c r="B36" s="11">
        <v>1.8659250810575363E-2</v>
      </c>
      <c r="C36" s="11">
        <v>5.6828915055727007E-2</v>
      </c>
      <c r="D36" s="11">
        <v>-9.7148150930168389E-3</v>
      </c>
      <c r="E36" s="11">
        <v>-1.164294954721861E-2</v>
      </c>
      <c r="F36" s="11">
        <v>3.1666666666666666E-3</v>
      </c>
      <c r="G36" s="11">
        <v>3.5250000000000004E-3</v>
      </c>
      <c r="H36" s="11">
        <v>3.6166666666666669E-3</v>
      </c>
      <c r="I36" s="11">
        <v>4.3E-3</v>
      </c>
      <c r="J36" s="11">
        <v>3.7249999999999996E-3</v>
      </c>
      <c r="K36" s="11">
        <v>3.9749999999999994E-3</v>
      </c>
      <c r="L36" s="11">
        <v>4.2333333333333329E-3</v>
      </c>
      <c r="M36" s="11">
        <v>4.4583333333333332E-3</v>
      </c>
      <c r="N36" s="11">
        <v>3.7249999999999996E-3</v>
      </c>
      <c r="O36" s="11">
        <v>3.7750000000000001E-3</v>
      </c>
      <c r="P36" s="11">
        <v>4.6083333333333332E-3</v>
      </c>
      <c r="Q36" s="11">
        <v>8.0333333333333333E-3</v>
      </c>
      <c r="S36" s="17">
        <f>MIN($D$2:$D$277)+(MAX($D$2:$D$277)-MIN($D$2:$D$277))*0.6</f>
        <v>1.0134838281423271</v>
      </c>
      <c r="T36" s="16">
        <f t="shared" si="4"/>
        <v>275</v>
      </c>
      <c r="U36" s="16">
        <f t="shared" si="5"/>
        <v>0</v>
      </c>
    </row>
    <row r="37" spans="1:21" x14ac:dyDescent="0.3">
      <c r="A37" s="10" t="s">
        <v>35</v>
      </c>
      <c r="B37" s="11">
        <v>1.2832287040648213E-2</v>
      </c>
      <c r="C37" s="11">
        <v>4.3718533083087589E-2</v>
      </c>
      <c r="D37" s="11">
        <v>1.1883391064701962E-3</v>
      </c>
      <c r="E37" s="11">
        <v>-2.1160558464223513E-2</v>
      </c>
      <c r="F37" s="11">
        <v>3.1583333333333337E-3</v>
      </c>
      <c r="G37" s="11">
        <v>3.6166666666666669E-3</v>
      </c>
      <c r="H37" s="11">
        <v>3.7583333333333336E-3</v>
      </c>
      <c r="I37" s="11">
        <v>4.3833333333333337E-3</v>
      </c>
      <c r="J37" s="11">
        <v>3.8916666666666665E-3</v>
      </c>
      <c r="K37" s="11">
        <v>4.0583333333333331E-3</v>
      </c>
      <c r="L37" s="11">
        <v>4.2750000000000002E-3</v>
      </c>
      <c r="M37" s="11">
        <v>4.5249999999999995E-3</v>
      </c>
      <c r="N37" s="11">
        <v>3.8999999999999994E-3</v>
      </c>
      <c r="O37" s="11">
        <v>3.9666666666666661E-3</v>
      </c>
      <c r="P37" s="11">
        <v>4.6750000000000003E-3</v>
      </c>
      <c r="Q37" s="11">
        <v>8.2416666666666662E-3</v>
      </c>
      <c r="S37" s="17">
        <f>MIN($D$2:$D$277)+(MAX($D$2:$D$277)-MIN($D$2:$D$277))*0.7</f>
        <v>1.2988462262693736</v>
      </c>
      <c r="T37" s="16">
        <f t="shared" si="4"/>
        <v>275</v>
      </c>
      <c r="U37" s="16">
        <f t="shared" si="5"/>
        <v>0</v>
      </c>
    </row>
    <row r="38" spans="1:21" x14ac:dyDescent="0.3">
      <c r="A38" s="10" t="s">
        <v>36</v>
      </c>
      <c r="B38" s="11">
        <v>5.726210143217348E-2</v>
      </c>
      <c r="C38" s="11">
        <v>-9.9616092708616037E-3</v>
      </c>
      <c r="D38" s="11">
        <v>-9.0408606495278564E-3</v>
      </c>
      <c r="E38" s="11">
        <v>8.8384221083129049</v>
      </c>
      <c r="F38" s="11">
        <v>3.1666666666666666E-3</v>
      </c>
      <c r="G38" s="11">
        <v>3.5499999999999998E-3</v>
      </c>
      <c r="H38" s="11">
        <v>3.7750000000000001E-3</v>
      </c>
      <c r="I38" s="11">
        <v>4.4000000000000003E-3</v>
      </c>
      <c r="J38" s="11">
        <v>3.8333333333333331E-3</v>
      </c>
      <c r="K38" s="11">
        <v>4.0666666666666663E-3</v>
      </c>
      <c r="L38" s="11">
        <v>4.3E-3</v>
      </c>
      <c r="M38" s="11">
        <v>4.5166666666666662E-3</v>
      </c>
      <c r="N38" s="11">
        <v>3.8333333333333331E-3</v>
      </c>
      <c r="O38" s="11">
        <v>3.933333333333333E-3</v>
      </c>
      <c r="P38" s="11">
        <v>4.725E-3</v>
      </c>
      <c r="Q38" s="11">
        <v>8.3250000000000008E-3</v>
      </c>
      <c r="S38" s="17">
        <f>MIN($D$2:$D$277)+(MAX($D$2:$D$277)-MIN($D$2:$D$277))*0.8</f>
        <v>1.5842086243964202</v>
      </c>
      <c r="T38" s="16">
        <f t="shared" si="4"/>
        <v>275</v>
      </c>
      <c r="U38" s="16">
        <f t="shared" si="5"/>
        <v>0</v>
      </c>
    </row>
    <row r="39" spans="1:21" x14ac:dyDescent="0.3">
      <c r="A39" s="10" t="s">
        <v>37</v>
      </c>
      <c r="B39" s="11">
        <v>4.4397711385504753E-2</v>
      </c>
      <c r="C39" s="11">
        <v>3.3803750846895575E-2</v>
      </c>
      <c r="D39" s="11">
        <v>-3.6442405708459482E-3</v>
      </c>
      <c r="E39" s="11">
        <v>-2.8927398346358549E-2</v>
      </c>
      <c r="F39" s="11">
        <v>3.15E-3</v>
      </c>
      <c r="G39" s="11">
        <v>3.4000000000000002E-3</v>
      </c>
      <c r="H39" s="11">
        <v>3.6333333333333335E-3</v>
      </c>
      <c r="I39" s="11">
        <v>4.3416666666666664E-3</v>
      </c>
      <c r="J39" s="11">
        <v>3.6833333333333332E-3</v>
      </c>
      <c r="K39" s="11">
        <v>4.0249999999999999E-3</v>
      </c>
      <c r="L39" s="11">
        <v>4.2750000000000002E-3</v>
      </c>
      <c r="M39" s="11">
        <v>4.5249999999999995E-3</v>
      </c>
      <c r="N39" s="11">
        <v>3.6916666666666664E-3</v>
      </c>
      <c r="O39" s="11">
        <v>3.7583333333333336E-3</v>
      </c>
      <c r="P39" s="11">
        <v>4.691666666666666E-3</v>
      </c>
      <c r="Q39" s="11">
        <v>8.3583333333333339E-3</v>
      </c>
      <c r="S39" s="17">
        <f>MIN($D$2:$D$277)+(MAX($D$2:$D$277)-MIN($D$2:$D$277))*0.9</f>
        <v>1.8695710225234663</v>
      </c>
      <c r="T39" s="16">
        <f t="shared" si="4"/>
        <v>275</v>
      </c>
      <c r="U39" s="16">
        <f t="shared" si="5"/>
        <v>0</v>
      </c>
    </row>
    <row r="40" spans="1:21" x14ac:dyDescent="0.3">
      <c r="A40" s="10" t="s">
        <v>38</v>
      </c>
      <c r="B40" s="11">
        <v>1.1924046076313281E-3</v>
      </c>
      <c r="C40" s="11">
        <v>-4.1831669362479021E-4</v>
      </c>
      <c r="D40" s="11">
        <v>-2.5577410031460213E-3</v>
      </c>
      <c r="E40" s="11">
        <v>1.2783428198189834E-2</v>
      </c>
      <c r="F40" s="11">
        <v>3.1416666666666663E-3</v>
      </c>
      <c r="G40" s="11">
        <v>3.2750000000000001E-3</v>
      </c>
      <c r="H40" s="11">
        <v>3.4750000000000002E-3</v>
      </c>
      <c r="I40" s="11">
        <v>4.1166666666666669E-3</v>
      </c>
      <c r="J40" s="11">
        <v>3.5416666666666669E-3</v>
      </c>
      <c r="K40" s="11">
        <v>3.8166666666666666E-3</v>
      </c>
      <c r="L40" s="11">
        <v>4.0666666666666663E-3</v>
      </c>
      <c r="M40" s="11">
        <v>4.3833333333333337E-3</v>
      </c>
      <c r="N40" s="11">
        <v>3.5499999999999998E-3</v>
      </c>
      <c r="O40" s="11">
        <v>3.5833333333333329E-3</v>
      </c>
      <c r="P40" s="11">
        <v>4.4749999999999998E-3</v>
      </c>
      <c r="Q40" s="11">
        <v>8.2083333333333331E-3</v>
      </c>
      <c r="S40" s="17">
        <f>MIN($D$2:$D$277)+(MAX($D$2:$D$277)-MIN($D$2:$D$277))*1</f>
        <v>2.1549334206505129</v>
      </c>
      <c r="T40" s="16">
        <f t="shared" si="4"/>
        <v>276</v>
      </c>
      <c r="U40" s="16">
        <f t="shared" si="5"/>
        <v>1</v>
      </c>
    </row>
    <row r="41" spans="1:21" x14ac:dyDescent="0.3">
      <c r="A41" s="10" t="s">
        <v>39</v>
      </c>
      <c r="B41" s="11">
        <v>-3.2268937776679205E-2</v>
      </c>
      <c r="C41" s="11">
        <v>1.0922634824094023E-2</v>
      </c>
      <c r="D41" s="11">
        <v>3.2771751673205556E-2</v>
      </c>
      <c r="E41" s="11">
        <v>4.4476690620969234E-2</v>
      </c>
      <c r="F41" s="11">
        <v>3.1416666666666663E-3</v>
      </c>
      <c r="G41" s="11">
        <v>3.2583333333333336E-3</v>
      </c>
      <c r="H41" s="11">
        <v>3.4499999999999999E-3</v>
      </c>
      <c r="I41" s="11">
        <v>4.1250000000000002E-3</v>
      </c>
      <c r="J41" s="11">
        <v>3.4416666666666662E-3</v>
      </c>
      <c r="K41" s="11">
        <v>3.7833333333333334E-3</v>
      </c>
      <c r="L41" s="11">
        <v>4.0666666666666663E-3</v>
      </c>
      <c r="M41" s="11">
        <v>4.3749999999999995E-3</v>
      </c>
      <c r="N41" s="11">
        <v>3.4499999999999999E-3</v>
      </c>
      <c r="O41" s="11">
        <v>3.5083333333333334E-3</v>
      </c>
      <c r="P41" s="11">
        <v>4.4083333333333335E-3</v>
      </c>
      <c r="Q41" s="11">
        <v>8.1333333333333327E-3</v>
      </c>
      <c r="S41" s="6"/>
      <c r="T41" s="4"/>
      <c r="U41" s="4"/>
    </row>
    <row r="42" spans="1:21" x14ac:dyDescent="0.3">
      <c r="A42" s="10" t="s">
        <v>40</v>
      </c>
      <c r="B42" s="11">
        <v>-7.1310809241843687E-2</v>
      </c>
      <c r="C42" s="11">
        <v>-0.10277497964646955</v>
      </c>
      <c r="D42" s="11">
        <v>-7.2476722532588453E-2</v>
      </c>
      <c r="E42" s="11">
        <v>-0.1158841819745518</v>
      </c>
      <c r="F42" s="11">
        <v>3.1416666666666663E-3</v>
      </c>
      <c r="G42" s="11">
        <v>3.2499999999999999E-3</v>
      </c>
      <c r="H42" s="11">
        <v>3.4083333333333331E-3</v>
      </c>
      <c r="I42" s="11">
        <v>4.0416666666666665E-3</v>
      </c>
      <c r="J42" s="11">
        <v>3.3916666666666665E-3</v>
      </c>
      <c r="K42" s="11">
        <v>3.6583333333333329E-3</v>
      </c>
      <c r="L42" s="11">
        <v>3.9583333333333337E-3</v>
      </c>
      <c r="M42" s="11">
        <v>4.3E-3</v>
      </c>
      <c r="N42" s="11">
        <v>3.4000000000000002E-3</v>
      </c>
      <c r="O42" s="11">
        <v>3.4333333333333334E-3</v>
      </c>
      <c r="P42" s="11">
        <v>4.2250000000000005E-3</v>
      </c>
      <c r="Q42" s="11">
        <v>7.9499999999999987E-3</v>
      </c>
      <c r="S42" s="4" t="s">
        <v>310</v>
      </c>
      <c r="T42" s="4"/>
      <c r="U42" s="4"/>
    </row>
    <row r="43" spans="1:21" x14ac:dyDescent="0.3">
      <c r="A43" s="10" t="s">
        <v>41</v>
      </c>
      <c r="B43" s="11">
        <v>-1.9927989198379684E-2</v>
      </c>
      <c r="C43" s="11">
        <v>-1.0765752603005881E-3</v>
      </c>
      <c r="D43" s="11">
        <v>-3.8012635185780486E-3</v>
      </c>
      <c r="E43" s="11">
        <v>-3.9259702683827218E-2</v>
      </c>
      <c r="F43" s="11">
        <v>3.15E-3</v>
      </c>
      <c r="G43" s="11">
        <v>3.2583333333333336E-3</v>
      </c>
      <c r="H43" s="11">
        <v>3.3499999999999992E-3</v>
      </c>
      <c r="I43" s="11">
        <v>3.9250000000000005E-3</v>
      </c>
      <c r="J43" s="11">
        <v>3.4333333333333334E-3</v>
      </c>
      <c r="K43" s="11">
        <v>3.5666666666666672E-3</v>
      </c>
      <c r="L43" s="11">
        <v>3.8166666666666666E-3</v>
      </c>
      <c r="M43" s="11">
        <v>4.1749999999999999E-3</v>
      </c>
      <c r="N43" s="11">
        <v>3.4416666666666662E-3</v>
      </c>
      <c r="O43" s="11">
        <v>3.4666666666666665E-3</v>
      </c>
      <c r="P43" s="11">
        <v>4.0916666666666671E-3</v>
      </c>
      <c r="Q43" s="11">
        <v>7.8083333333333329E-3</v>
      </c>
      <c r="S43" s="16" t="s">
        <v>279</v>
      </c>
      <c r="T43" s="16" t="s">
        <v>280</v>
      </c>
      <c r="U43" s="16" t="s">
        <v>281</v>
      </c>
    </row>
    <row r="44" spans="1:21" x14ac:dyDescent="0.3">
      <c r="A44" s="10" t="s">
        <v>42</v>
      </c>
      <c r="B44" s="11">
        <v>-6.54897058448351E-2</v>
      </c>
      <c r="C44" s="11">
        <v>-4.3802250927622431E-2</v>
      </c>
      <c r="D44" s="11">
        <v>-3.0096200354705189E-2</v>
      </c>
      <c r="E44" s="11">
        <v>-0.1401163092580093</v>
      </c>
      <c r="F44" s="11">
        <v>3.15E-3</v>
      </c>
      <c r="G44" s="11">
        <v>3.2583333333333336E-3</v>
      </c>
      <c r="H44" s="11">
        <v>3.3499999999999992E-3</v>
      </c>
      <c r="I44" s="11">
        <v>3.8249999999999998E-3</v>
      </c>
      <c r="J44" s="11">
        <v>3.3833333333333332E-3</v>
      </c>
      <c r="K44" s="11">
        <v>3.4916666666666672E-3</v>
      </c>
      <c r="L44" s="11">
        <v>3.7249999999999996E-3</v>
      </c>
      <c r="M44" s="11">
        <v>4.0666666666666663E-3</v>
      </c>
      <c r="N44" s="11">
        <v>3.3833333333333332E-3</v>
      </c>
      <c r="O44" s="11">
        <v>3.4333333333333334E-3</v>
      </c>
      <c r="P44" s="11">
        <v>3.9749999999999994E-3</v>
      </c>
      <c r="Q44" s="11">
        <v>7.6833333333333337E-3</v>
      </c>
      <c r="S44" s="17">
        <f>MIN($E$2:$E$277)+(MAX($E$2:$E$277)-MIN($E$2:$E$277))*0.1</f>
        <v>7.1874221651849646E-2</v>
      </c>
      <c r="T44" s="16">
        <f>FREQUENCY($E$2:$E$277,S44)</f>
        <v>236</v>
      </c>
      <c r="U44" s="16">
        <f>T44</f>
        <v>236</v>
      </c>
    </row>
    <row r="45" spans="1:21" x14ac:dyDescent="0.3">
      <c r="A45" s="10" t="s">
        <v>43</v>
      </c>
      <c r="B45" s="11">
        <v>8.0603330603330539E-2</v>
      </c>
      <c r="C45" s="11">
        <v>8.8976910443435586E-2</v>
      </c>
      <c r="D45" s="11">
        <v>7.1480024380783547E-2</v>
      </c>
      <c r="E45" s="11">
        <v>7.3820234896289499E-2</v>
      </c>
      <c r="F45" s="11">
        <v>3.0166666666666671E-3</v>
      </c>
      <c r="G45" s="11">
        <v>3.0833333333333338E-3</v>
      </c>
      <c r="H45" s="11">
        <v>3.1999999999999997E-3</v>
      </c>
      <c r="I45" s="11">
        <v>3.4166666666666664E-3</v>
      </c>
      <c r="J45" s="11">
        <v>3.1083333333333332E-3</v>
      </c>
      <c r="K45" s="11">
        <v>3.1833333333333332E-3</v>
      </c>
      <c r="L45" s="11">
        <v>3.3416666666666664E-3</v>
      </c>
      <c r="M45" s="11">
        <v>3.6083333333333332E-3</v>
      </c>
      <c r="N45" s="11">
        <v>3.1083333333333332E-3</v>
      </c>
      <c r="O45" s="11">
        <v>3.1416666666666663E-3</v>
      </c>
      <c r="P45" s="11">
        <v>3.65E-3</v>
      </c>
      <c r="Q45" s="11">
        <v>7.3333333333333341E-3</v>
      </c>
      <c r="S45" s="17">
        <f>MIN($E$2:$E$277)+(MAX($E$2:$E$277)-MIN($E$2:$E$277))*0.2</f>
        <v>1.0459350979475226</v>
      </c>
      <c r="T45" s="16">
        <f t="shared" ref="T45:T53" si="6">FREQUENCY($E$2:$E$277,S45)</f>
        <v>275</v>
      </c>
      <c r="U45" s="16">
        <f>T45-T44</f>
        <v>39</v>
      </c>
    </row>
    <row r="46" spans="1:21" x14ac:dyDescent="0.3">
      <c r="A46" s="10" t="s">
        <v>44</v>
      </c>
      <c r="B46" s="11">
        <v>4.2316680351165287E-2</v>
      </c>
      <c r="C46" s="11">
        <v>9.037142181215993E-2</v>
      </c>
      <c r="D46" s="11">
        <v>3.0330454568961107E-2</v>
      </c>
      <c r="E46" s="11">
        <v>1.8050947534161723E-2</v>
      </c>
      <c r="F46" s="11">
        <v>2.9416666666666666E-3</v>
      </c>
      <c r="G46" s="11">
        <v>2.9333333333333334E-3</v>
      </c>
      <c r="H46" s="11">
        <v>3.075E-3</v>
      </c>
      <c r="I46" s="11">
        <v>3.2166666666666663E-3</v>
      </c>
      <c r="J46" s="11">
        <v>2.9166666666666668E-3</v>
      </c>
      <c r="K46" s="11">
        <v>2.9916666666666668E-3</v>
      </c>
      <c r="L46" s="11">
        <v>3.1249999999999997E-3</v>
      </c>
      <c r="M46" s="11">
        <v>3.4499999999999999E-3</v>
      </c>
      <c r="N46" s="11">
        <v>2.9250000000000001E-3</v>
      </c>
      <c r="O46" s="11">
        <v>2.9499999999999999E-3</v>
      </c>
      <c r="P46" s="11">
        <v>3.4166666666666664E-3</v>
      </c>
      <c r="Q46" s="11">
        <v>7.0999999999999995E-3</v>
      </c>
      <c r="S46" s="17">
        <f>MIN($E$2:$E$277)+(MAX($E$2:$E$277)-MIN($E$2:$E$277))*0.3</f>
        <v>2.0199959742431952</v>
      </c>
      <c r="T46" s="16">
        <f t="shared" si="6"/>
        <v>275</v>
      </c>
      <c r="U46" s="16">
        <f t="shared" ref="U46:U53" si="7">T46-T45</f>
        <v>0</v>
      </c>
    </row>
    <row r="47" spans="1:21" x14ac:dyDescent="0.3">
      <c r="A47" s="10" t="s">
        <v>45</v>
      </c>
      <c r="B47" s="11">
        <v>2.338968672362678E-3</v>
      </c>
      <c r="C47" s="11">
        <v>3.330440442612273E-2</v>
      </c>
      <c r="D47" s="11">
        <v>1.7391522573844829E-2</v>
      </c>
      <c r="E47" s="11">
        <v>-1.3919575784356947E-2</v>
      </c>
      <c r="F47" s="11">
        <v>2.9416666666666666E-3</v>
      </c>
      <c r="G47" s="11">
        <v>2.9333333333333334E-3</v>
      </c>
      <c r="H47" s="11">
        <v>3.058333333333333E-3</v>
      </c>
      <c r="I47" s="11">
        <v>3.15E-3</v>
      </c>
      <c r="J47" s="11">
        <v>2.8999999999999998E-3</v>
      </c>
      <c r="K47" s="11">
        <v>2.9499999999999999E-3</v>
      </c>
      <c r="L47" s="11">
        <v>3.058333333333333E-3</v>
      </c>
      <c r="M47" s="11">
        <v>3.375E-3</v>
      </c>
      <c r="N47" s="11">
        <v>2.891666666666667E-3</v>
      </c>
      <c r="O47" s="11">
        <v>2.9250000000000001E-3</v>
      </c>
      <c r="P47" s="11">
        <v>3.3416666666666664E-3</v>
      </c>
      <c r="Q47" s="11">
        <v>7.0000000000000001E-3</v>
      </c>
      <c r="S47" s="17">
        <f>MIN($E$2:$E$277)+(MAX($E$2:$E$277)-MIN($E$2:$E$277))*0.4</f>
        <v>2.9940568505388683</v>
      </c>
      <c r="T47" s="16">
        <f t="shared" si="6"/>
        <v>275</v>
      </c>
      <c r="U47" s="16">
        <f t="shared" si="7"/>
        <v>0</v>
      </c>
    </row>
    <row r="48" spans="1:21" x14ac:dyDescent="0.3">
      <c r="A48" s="10" t="s">
        <v>46</v>
      </c>
      <c r="B48" s="11">
        <v>4.6803211297576919E-2</v>
      </c>
      <c r="C48" s="11">
        <v>8.4317585301837264E-2</v>
      </c>
      <c r="D48" s="11">
        <v>6.5392205229403186E-2</v>
      </c>
      <c r="E48" s="11">
        <v>4.5905220703562587E-2</v>
      </c>
      <c r="F48" s="11">
        <v>2.8E-3</v>
      </c>
      <c r="G48" s="11">
        <v>2.8500000000000001E-3</v>
      </c>
      <c r="H48" s="11">
        <v>2.9749999999999998E-3</v>
      </c>
      <c r="I48" s="11">
        <v>3.0333333333333336E-3</v>
      </c>
      <c r="J48" s="11">
        <v>2.7833333333333334E-3</v>
      </c>
      <c r="K48" s="11">
        <v>2.8500000000000001E-3</v>
      </c>
      <c r="L48" s="11">
        <v>2.9416666666666666E-3</v>
      </c>
      <c r="M48" s="11">
        <v>3.2999999999999995E-3</v>
      </c>
      <c r="N48" s="11">
        <v>2.7833333333333334E-3</v>
      </c>
      <c r="O48" s="11">
        <v>2.8333333333333335E-3</v>
      </c>
      <c r="P48" s="11">
        <v>3.2166666666666663E-3</v>
      </c>
      <c r="Q48" s="11">
        <v>6.8833333333333325E-3</v>
      </c>
      <c r="S48" s="17">
        <f>MIN($E$2:$E$277)+(MAX($E$2:$E$277)-MIN($E$2:$E$277))*0.5</f>
        <v>3.9681177268345413</v>
      </c>
      <c r="T48" s="16">
        <f t="shared" si="6"/>
        <v>275</v>
      </c>
      <c r="U48" s="16">
        <f t="shared" si="7"/>
        <v>0</v>
      </c>
    </row>
    <row r="49" spans="1:26" x14ac:dyDescent="0.3">
      <c r="A49" s="10" t="s">
        <v>47</v>
      </c>
      <c r="B49" s="11">
        <v>1.9692997147114276E-2</v>
      </c>
      <c r="C49" s="11">
        <v>3.098335854765441E-3</v>
      </c>
      <c r="D49" s="11">
        <v>8.6129054664165448E-3</v>
      </c>
      <c r="E49" s="11">
        <v>1.8477358541091976E-2</v>
      </c>
      <c r="F49" s="11">
        <v>2.7333333333333328E-3</v>
      </c>
      <c r="G49" s="11">
        <v>2.8249999999999998E-3</v>
      </c>
      <c r="H49" s="11">
        <v>2.9416666666666666E-3</v>
      </c>
      <c r="I49" s="11">
        <v>2.9416666666666666E-3</v>
      </c>
      <c r="J49" s="11">
        <v>2.7333333333333328E-3</v>
      </c>
      <c r="K49" s="11">
        <v>2.7333333333333328E-3</v>
      </c>
      <c r="L49" s="11">
        <v>2.8249999999999998E-3</v>
      </c>
      <c r="M49" s="11">
        <v>3.2083333333333334E-3</v>
      </c>
      <c r="N49" s="11">
        <v>2.7416666666666666E-3</v>
      </c>
      <c r="O49" s="11">
        <v>2.8083333333333333E-3</v>
      </c>
      <c r="P49" s="11">
        <v>3.1083333333333332E-3</v>
      </c>
      <c r="Q49" s="11">
        <v>6.7833333333333331E-3</v>
      </c>
      <c r="S49" s="17">
        <f>MIN($E$2:$E$277)+(MAX($E$2:$E$277)-MIN($E$2:$E$277))*0.6</f>
        <v>4.9421786031302144</v>
      </c>
      <c r="T49" s="16">
        <f t="shared" si="6"/>
        <v>275</v>
      </c>
      <c r="U49" s="16">
        <f t="shared" si="7"/>
        <v>0</v>
      </c>
    </row>
    <row r="50" spans="1:26" x14ac:dyDescent="0.3">
      <c r="A50" s="10" t="s">
        <v>48</v>
      </c>
      <c r="B50" s="11">
        <v>5.0496126138371532E-2</v>
      </c>
      <c r="C50" s="11">
        <v>0.10955466270918555</v>
      </c>
      <c r="D50" s="11">
        <v>0.15701397975346046</v>
      </c>
      <c r="E50" s="11">
        <v>0.24352535955617494</v>
      </c>
      <c r="F50" s="11">
        <v>2.725E-3</v>
      </c>
      <c r="G50" s="11">
        <v>2.891666666666667E-3</v>
      </c>
      <c r="H50" s="11">
        <v>3.0333333333333336E-3</v>
      </c>
      <c r="I50" s="11">
        <v>3.3333333333333335E-3</v>
      </c>
      <c r="J50" s="11">
        <v>2.8999999999999998E-3</v>
      </c>
      <c r="K50" s="11">
        <v>3.0416666666666665E-3</v>
      </c>
      <c r="L50" s="11">
        <v>3.241666666666667E-3</v>
      </c>
      <c r="M50" s="11">
        <v>3.6833333333333332E-3</v>
      </c>
      <c r="N50" s="11">
        <v>2.8999999999999998E-3</v>
      </c>
      <c r="O50" s="11">
        <v>2.9833333333333331E-3</v>
      </c>
      <c r="P50" s="11">
        <v>3.4250000000000005E-3</v>
      </c>
      <c r="Q50" s="11">
        <v>7.1166666666666661E-3</v>
      </c>
      <c r="S50" s="17">
        <f>MIN($E$2:$E$277)+(MAX($E$2:$E$277)-MIN($E$2:$E$277))*0.7</f>
        <v>5.9162394794258866</v>
      </c>
      <c r="T50" s="16">
        <f t="shared" si="6"/>
        <v>275</v>
      </c>
      <c r="U50" s="16">
        <f t="shared" si="7"/>
        <v>0</v>
      </c>
    </row>
    <row r="51" spans="1:26" x14ac:dyDescent="0.3">
      <c r="A51" s="10" t="s">
        <v>49</v>
      </c>
      <c r="B51" s="11">
        <v>7.5467425761790788E-2</v>
      </c>
      <c r="C51" s="11">
        <v>0.16861495634018775</v>
      </c>
      <c r="D51" s="11">
        <v>0.21504672340932085</v>
      </c>
      <c r="E51" s="11">
        <v>5.3768897346442558E-2</v>
      </c>
      <c r="F51" s="11">
        <v>2.725E-3</v>
      </c>
      <c r="G51" s="11">
        <v>2.9916666666666668E-3</v>
      </c>
      <c r="H51" s="11">
        <v>3.133333333333333E-3</v>
      </c>
      <c r="I51" s="11">
        <v>3.8416666666666668E-3</v>
      </c>
      <c r="J51" s="11">
        <v>2.8999999999999998E-3</v>
      </c>
      <c r="K51" s="11">
        <v>3.4916666666666672E-3</v>
      </c>
      <c r="L51" s="11">
        <v>3.7249999999999996E-3</v>
      </c>
      <c r="M51" s="11">
        <v>4.0666666666666663E-3</v>
      </c>
      <c r="N51" s="11">
        <v>3.2166666666666663E-3</v>
      </c>
      <c r="O51" s="11">
        <v>3.2916666666666667E-3</v>
      </c>
      <c r="P51" s="11">
        <v>3.8583333333333334E-3</v>
      </c>
      <c r="Q51" s="11">
        <v>7.5416666666666679E-3</v>
      </c>
      <c r="S51" s="17">
        <f>MIN($E$2:$E$277)+(MAX($E$2:$E$277)-MIN($E$2:$E$277))*0.8</f>
        <v>6.8903003557215605</v>
      </c>
      <c r="T51" s="16">
        <f t="shared" si="6"/>
        <v>275</v>
      </c>
      <c r="U51" s="16">
        <f t="shared" si="7"/>
        <v>0</v>
      </c>
    </row>
    <row r="52" spans="1:26" x14ac:dyDescent="0.3">
      <c r="A52" s="10" t="s">
        <v>50</v>
      </c>
      <c r="B52" s="11">
        <v>-4.4134307857350522E-2</v>
      </c>
      <c r="C52" s="11">
        <v>-4.7884466859594139E-2</v>
      </c>
      <c r="D52" s="11">
        <v>-6.2293850625387774E-2</v>
      </c>
      <c r="E52" s="11">
        <v>-8.6981821100365231E-2</v>
      </c>
      <c r="F52" s="11">
        <v>2.7083333333333334E-3</v>
      </c>
      <c r="G52" s="11">
        <v>2.9583333333333332E-3</v>
      </c>
      <c r="H52" s="11">
        <v>3.1083333333333332E-3</v>
      </c>
      <c r="I52" s="11">
        <v>3.7000000000000002E-3</v>
      </c>
      <c r="J52" s="11">
        <v>3.1833333333333332E-3</v>
      </c>
      <c r="K52" s="11">
        <v>3.3666666666666667E-3</v>
      </c>
      <c r="L52" s="11">
        <v>3.5750000000000001E-3</v>
      </c>
      <c r="M52" s="11">
        <v>3.9749999999999994E-3</v>
      </c>
      <c r="N52" s="11">
        <v>3.1833333333333332E-3</v>
      </c>
      <c r="O52" s="11">
        <v>3.241666666666667E-3</v>
      </c>
      <c r="P52" s="11">
        <v>3.7333333333333337E-3</v>
      </c>
      <c r="Q52" s="11">
        <v>7.2833333333333335E-3</v>
      </c>
      <c r="S52" s="17">
        <f>MIN($E$2:$E$277)+(MAX($E$2:$E$277)-MIN($E$2:$E$277))*0.9</f>
        <v>7.8643612320172336</v>
      </c>
      <c r="T52" s="16">
        <f t="shared" si="6"/>
        <v>275</v>
      </c>
      <c r="U52" s="16">
        <f t="shared" si="7"/>
        <v>0</v>
      </c>
    </row>
    <row r="53" spans="1:26" x14ac:dyDescent="0.3">
      <c r="A53" s="10" t="s">
        <v>51</v>
      </c>
      <c r="B53" s="11">
        <v>-5.3891901530328613E-2</v>
      </c>
      <c r="C53" s="11">
        <v>-5.7456436117708072E-2</v>
      </c>
      <c r="D53" s="11">
        <v>-3.7682623156355004E-2</v>
      </c>
      <c r="E53" s="11">
        <v>-6.7314243016943928E-2</v>
      </c>
      <c r="F53" s="11">
        <v>2.7166666666666663E-3</v>
      </c>
      <c r="G53" s="11">
        <v>2.9333333333333334E-3</v>
      </c>
      <c r="H53" s="11">
        <v>3.0833333333333338E-3</v>
      </c>
      <c r="I53" s="11">
        <v>3.5333333333333332E-3</v>
      </c>
      <c r="J53" s="11">
        <v>3.0916666666666666E-3</v>
      </c>
      <c r="K53" s="11">
        <v>3.2166666666666663E-3</v>
      </c>
      <c r="L53" s="11">
        <v>3.4250000000000005E-3</v>
      </c>
      <c r="M53" s="11">
        <v>3.908333333333334E-3</v>
      </c>
      <c r="N53" s="11">
        <v>3.1000000000000003E-3</v>
      </c>
      <c r="O53" s="11">
        <v>3.1583333333333337E-3</v>
      </c>
      <c r="P53" s="11">
        <v>3.5666666666666672E-3</v>
      </c>
      <c r="Q53" s="11">
        <v>6.9666666666666661E-3</v>
      </c>
      <c r="S53" s="17">
        <f>MIN($E$2:$E$277)+(MAX($E$2:$E$277)-MIN($E$2:$E$277))*1</f>
        <v>8.8384221083129049</v>
      </c>
      <c r="T53" s="16">
        <f t="shared" si="6"/>
        <v>276</v>
      </c>
      <c r="U53" s="16">
        <f t="shared" si="7"/>
        <v>1</v>
      </c>
    </row>
    <row r="54" spans="1:26" x14ac:dyDescent="0.25">
      <c r="A54" s="10" t="s">
        <v>52</v>
      </c>
      <c r="B54" s="11">
        <v>6.4566911675036878E-2</v>
      </c>
      <c r="C54" s="11">
        <v>6.0056821716679532E-2</v>
      </c>
      <c r="D54" s="11">
        <v>4.5165843330981011E-2</v>
      </c>
      <c r="E54" s="11">
        <v>0.11093308199811509</v>
      </c>
      <c r="F54" s="11">
        <v>2.7500000000000003E-3</v>
      </c>
      <c r="G54" s="11">
        <v>2.9250000000000001E-3</v>
      </c>
      <c r="H54" s="11">
        <v>3.0333333333333336E-3</v>
      </c>
      <c r="I54" s="11">
        <v>3.3250000000000003E-3</v>
      </c>
      <c r="J54" s="11">
        <v>3.0000000000000005E-3</v>
      </c>
      <c r="K54" s="11">
        <v>3.0916666666666666E-3</v>
      </c>
      <c r="L54" s="11">
        <v>3.241666666666667E-3</v>
      </c>
      <c r="M54" s="11">
        <v>3.6833333333333332E-3</v>
      </c>
      <c r="N54" s="11">
        <v>3.0000000000000005E-3</v>
      </c>
      <c r="O54" s="11">
        <v>3.0666666666666668E-3</v>
      </c>
      <c r="P54" s="11">
        <v>3.4333333333333334E-3</v>
      </c>
      <c r="Q54" s="11">
        <v>6.7583333333333323E-3</v>
      </c>
    </row>
    <row r="55" spans="1:26" x14ac:dyDescent="0.25">
      <c r="A55" s="10" t="s">
        <v>53</v>
      </c>
      <c r="B55" s="11">
        <v>2.7513668315542784E-2</v>
      </c>
      <c r="C55" s="11">
        <v>0.1379384549171507</v>
      </c>
      <c r="D55" s="11">
        <v>0.12984989352308732</v>
      </c>
      <c r="E55" s="11">
        <v>6.7298718927632048E-2</v>
      </c>
      <c r="F55" s="11">
        <v>2.7333333333333328E-3</v>
      </c>
      <c r="G55" s="11">
        <v>2.9250000000000001E-3</v>
      </c>
      <c r="H55" s="11">
        <v>3.0333333333333336E-3</v>
      </c>
      <c r="I55" s="11">
        <v>3.4000000000000002E-3</v>
      </c>
      <c r="J55" s="11">
        <v>3.0500000000000002E-3</v>
      </c>
      <c r="K55" s="11">
        <v>3.1583333333333337E-3</v>
      </c>
      <c r="L55" s="11">
        <v>3.3083333333333333E-3</v>
      </c>
      <c r="M55" s="11">
        <v>3.7166666666666667E-3</v>
      </c>
      <c r="N55" s="11">
        <v>3.0500000000000002E-3</v>
      </c>
      <c r="O55" s="11">
        <v>3.1083333333333332E-3</v>
      </c>
      <c r="P55" s="11">
        <v>3.4833333333333331E-3</v>
      </c>
      <c r="Q55" s="11">
        <v>6.7916666666666672E-3</v>
      </c>
    </row>
    <row r="56" spans="1:26" x14ac:dyDescent="0.3">
      <c r="A56" s="10" t="s">
        <v>54</v>
      </c>
      <c r="B56" s="11">
        <v>0.10654018060749795</v>
      </c>
      <c r="C56" s="11">
        <v>5.760039884472562E-2</v>
      </c>
      <c r="D56" s="11">
        <v>0.13095511730182799</v>
      </c>
      <c r="E56" s="11">
        <v>8.6385405695435249E-2</v>
      </c>
      <c r="F56" s="11">
        <v>2.7083333333333334E-3</v>
      </c>
      <c r="G56" s="11">
        <v>2.9250000000000001E-3</v>
      </c>
      <c r="H56" s="11">
        <v>3.0333333333333336E-3</v>
      </c>
      <c r="I56" s="11">
        <v>3.7499999999999999E-3</v>
      </c>
      <c r="J56" s="11">
        <v>3.1416666666666663E-3</v>
      </c>
      <c r="K56" s="11">
        <v>3.4333333333333334E-3</v>
      </c>
      <c r="L56" s="11">
        <v>3.6583333333333329E-3</v>
      </c>
      <c r="M56" s="11">
        <v>4.0749999999999996E-3</v>
      </c>
      <c r="N56" s="11">
        <v>3.133333333333333E-3</v>
      </c>
      <c r="O56" s="11">
        <v>3.1833333333333332E-3</v>
      </c>
      <c r="P56" s="11">
        <v>3.7666666666666664E-3</v>
      </c>
      <c r="Q56" s="11">
        <v>7.0750000000000006E-3</v>
      </c>
      <c r="S56" s="4" t="s">
        <v>312</v>
      </c>
    </row>
    <row r="57" spans="1:26" x14ac:dyDescent="0.3">
      <c r="A57" s="10" t="s">
        <v>55</v>
      </c>
      <c r="B57" s="11">
        <v>-2.3328662105349954E-2</v>
      </c>
      <c r="C57" s="11">
        <v>-2.5829628485740042E-2</v>
      </c>
      <c r="D57" s="11">
        <v>-6.0659846893841858E-2</v>
      </c>
      <c r="E57" s="11">
        <v>-7.8162727738347787E-2</v>
      </c>
      <c r="F57" s="11">
        <v>2.7083333333333334E-3</v>
      </c>
      <c r="G57" s="11">
        <v>2.9166666666666668E-3</v>
      </c>
      <c r="H57" s="11">
        <v>3.0166666666666671E-3</v>
      </c>
      <c r="I57" s="11">
        <v>4.0083333333333334E-3</v>
      </c>
      <c r="J57" s="11">
        <v>3.2333333333333333E-3</v>
      </c>
      <c r="K57" s="11">
        <v>3.6083333333333332E-3</v>
      </c>
      <c r="L57" s="11">
        <v>3.8916666666666665E-3</v>
      </c>
      <c r="M57" s="11">
        <v>4.2333333333333329E-3</v>
      </c>
      <c r="N57" s="11">
        <v>3.225E-3</v>
      </c>
      <c r="O57" s="11">
        <v>3.2750000000000001E-3</v>
      </c>
      <c r="P57" s="11">
        <v>3.9583333333333337E-3</v>
      </c>
      <c r="Q57" s="11">
        <v>7.2833333333333335E-3</v>
      </c>
      <c r="S57" s="19" t="s">
        <v>326</v>
      </c>
      <c r="T57" s="20" t="s">
        <v>307</v>
      </c>
      <c r="U57" s="20" t="s">
        <v>308</v>
      </c>
      <c r="V57" s="20" t="s">
        <v>309</v>
      </c>
      <c r="W57" s="20" t="s">
        <v>310</v>
      </c>
      <c r="Y57" s="15"/>
      <c r="Z57" s="15"/>
    </row>
    <row r="58" spans="1:26" x14ac:dyDescent="0.25">
      <c r="A58" s="10" t="s">
        <v>56</v>
      </c>
      <c r="B58" s="11">
        <v>0.11949508590291852</v>
      </c>
      <c r="C58" s="11">
        <v>0.18248942507446253</v>
      </c>
      <c r="D58" s="11">
        <v>0.1830429263789522</v>
      </c>
      <c r="E58" s="11">
        <v>0.13493402123226522</v>
      </c>
      <c r="F58" s="11">
        <v>2.7083333333333334E-3</v>
      </c>
      <c r="G58" s="11">
        <v>3.0833333333333338E-3</v>
      </c>
      <c r="H58" s="11">
        <v>3.1833333333333332E-3</v>
      </c>
      <c r="I58" s="11">
        <v>4.15E-3</v>
      </c>
      <c r="J58" s="11">
        <v>3.4916666666666672E-3</v>
      </c>
      <c r="K58" s="11">
        <v>3.7666666666666664E-3</v>
      </c>
      <c r="L58" s="11">
        <v>4.0083333333333334E-3</v>
      </c>
      <c r="M58" s="11">
        <v>4.2916666666666667E-3</v>
      </c>
      <c r="N58" s="11">
        <v>3.4916666666666672E-3</v>
      </c>
      <c r="O58" s="11">
        <v>3.5416666666666669E-3</v>
      </c>
      <c r="P58" s="11">
        <v>4.1000000000000003E-3</v>
      </c>
      <c r="Q58" s="11">
        <v>7.3833333333333329E-3</v>
      </c>
      <c r="S58" s="18" t="s">
        <v>313</v>
      </c>
      <c r="T58" s="18">
        <v>8.1851512657974464E-3</v>
      </c>
      <c r="U58" s="18">
        <v>9.5897316007942553E-3</v>
      </c>
      <c r="V58" s="18">
        <v>1.311167100858673E-2</v>
      </c>
      <c r="W58" s="18">
        <v>3.3934064266709078E-2</v>
      </c>
      <c r="Y58"/>
      <c r="Z58"/>
    </row>
    <row r="59" spans="1:26" x14ac:dyDescent="0.25">
      <c r="A59" s="10" t="s">
        <v>57</v>
      </c>
      <c r="B59" s="11">
        <v>-5.9066463383986453E-2</v>
      </c>
      <c r="C59" s="11">
        <v>-1.6121976688397759E-2</v>
      </c>
      <c r="D59" s="11">
        <v>4.2844253700407349E-2</v>
      </c>
      <c r="E59" s="11">
        <v>2.7117755048518211E-2</v>
      </c>
      <c r="F59" s="11">
        <v>2.8666666666666667E-3</v>
      </c>
      <c r="G59" s="11">
        <v>3.2750000000000001E-3</v>
      </c>
      <c r="H59" s="11">
        <v>3.4333333333333334E-3</v>
      </c>
      <c r="I59" s="11">
        <v>4.3499999999999997E-3</v>
      </c>
      <c r="J59" s="11">
        <v>3.7000000000000002E-3</v>
      </c>
      <c r="K59" s="11">
        <v>4.0083333333333334E-3</v>
      </c>
      <c r="L59" s="11">
        <v>4.2166666666666663E-3</v>
      </c>
      <c r="M59" s="11">
        <v>4.4666666666666665E-3</v>
      </c>
      <c r="N59" s="11">
        <v>3.6916666666666664E-3</v>
      </c>
      <c r="O59" s="11">
        <v>3.7833333333333334E-3</v>
      </c>
      <c r="P59" s="11">
        <v>4.333333333333334E-3</v>
      </c>
      <c r="Q59" s="11">
        <v>7.508333333333333E-3</v>
      </c>
      <c r="S59" s="18" t="s">
        <v>314</v>
      </c>
      <c r="T59" s="18">
        <v>3.7551866401430516E-3</v>
      </c>
      <c r="U59" s="18">
        <v>4.5152109247720042E-3</v>
      </c>
      <c r="V59" s="18">
        <v>9.1730285632149935E-3</v>
      </c>
      <c r="W59" s="18">
        <v>3.2561052926727473E-2</v>
      </c>
      <c r="Y59" s="14"/>
      <c r="Z59"/>
    </row>
    <row r="60" spans="1:26" x14ac:dyDescent="0.25">
      <c r="A60" s="10" t="s">
        <v>58</v>
      </c>
      <c r="B60" s="11">
        <v>0.1163430463929917</v>
      </c>
      <c r="C60" s="11">
        <v>0.13795922465165969</v>
      </c>
      <c r="D60" s="11">
        <v>0.18397792639012286</v>
      </c>
      <c r="E60" s="11">
        <v>0.21266128757702643</v>
      </c>
      <c r="F60" s="11">
        <v>2.9166666666666668E-3</v>
      </c>
      <c r="G60" s="11">
        <v>3.2999999999999995E-3</v>
      </c>
      <c r="H60" s="11">
        <v>3.4333333333333334E-3</v>
      </c>
      <c r="I60" s="11">
        <v>4.6500000000000005E-3</v>
      </c>
      <c r="J60" s="11">
        <v>3.8083333333333337E-3</v>
      </c>
      <c r="K60" s="11">
        <v>4.2499999999999994E-3</v>
      </c>
      <c r="L60" s="11">
        <v>4.4916666666666664E-3</v>
      </c>
      <c r="M60" s="11">
        <v>4.7333333333333333E-3</v>
      </c>
      <c r="N60" s="11">
        <v>3.8166666666666666E-3</v>
      </c>
      <c r="O60" s="11">
        <v>3.9166666666666664E-3</v>
      </c>
      <c r="P60" s="11">
        <v>4.5833333333333334E-3</v>
      </c>
      <c r="Q60" s="11">
        <v>7.7166666666666668E-3</v>
      </c>
      <c r="S60" s="18" t="s">
        <v>315</v>
      </c>
      <c r="T60" s="18">
        <v>9.9865609129265349E-3</v>
      </c>
      <c r="U60" s="18">
        <v>7.392626315893022E-3</v>
      </c>
      <c r="V60" s="18">
        <v>9.4181455066169491E-3</v>
      </c>
      <c r="W60" s="18">
        <v>6.0333015805001701E-3</v>
      </c>
      <c r="Y60" s="14"/>
      <c r="Z60"/>
    </row>
    <row r="61" spans="1:26" x14ac:dyDescent="0.25">
      <c r="A61" s="10" t="s">
        <v>59</v>
      </c>
      <c r="B61" s="11">
        <v>7.4598655405890335E-2</v>
      </c>
      <c r="C61" s="11">
        <v>-5.4699562025395197E-3</v>
      </c>
      <c r="D61" s="11">
        <v>-2.1299917051783326E-2</v>
      </c>
      <c r="E61" s="11">
        <v>-1.4879490166902992E-2</v>
      </c>
      <c r="F61" s="11">
        <v>3.075E-3</v>
      </c>
      <c r="G61" s="11">
        <v>3.3666666666666667E-3</v>
      </c>
      <c r="H61" s="11">
        <v>3.5499999999999998E-3</v>
      </c>
      <c r="I61" s="11">
        <v>4.5833333333333334E-3</v>
      </c>
      <c r="J61" s="11">
        <v>3.8916666666666665E-3</v>
      </c>
      <c r="K61" s="11">
        <v>4.2166666666666663E-3</v>
      </c>
      <c r="L61" s="11">
        <v>4.4416666666666667E-3</v>
      </c>
      <c r="M61" s="11">
        <v>4.6666666666666662E-3</v>
      </c>
      <c r="N61" s="11">
        <v>3.8833333333333337E-3</v>
      </c>
      <c r="O61" s="11">
        <v>4.0083333333333334E-3</v>
      </c>
      <c r="P61" s="11">
        <v>4.5750000000000001E-3</v>
      </c>
      <c r="Q61" s="11">
        <v>7.6750000000000013E-3</v>
      </c>
      <c r="S61" s="18" t="s">
        <v>316</v>
      </c>
      <c r="T61" s="18" t="e">
        <v>#N/A</v>
      </c>
      <c r="U61" s="18" t="e">
        <v>#N/A</v>
      </c>
      <c r="V61" s="18" t="e">
        <v>#N/A</v>
      </c>
      <c r="W61" s="18" t="e">
        <v>#N/A</v>
      </c>
      <c r="Y61" s="14"/>
      <c r="Z61"/>
    </row>
    <row r="62" spans="1:26" x14ac:dyDescent="0.25">
      <c r="A62" s="10" t="s">
        <v>60</v>
      </c>
      <c r="B62" s="11">
        <v>1.9718727967642537E-2</v>
      </c>
      <c r="C62" s="11">
        <v>-2.2836576541183751E-2</v>
      </c>
      <c r="D62" s="11">
        <v>-2.1026929402387255E-2</v>
      </c>
      <c r="E62" s="11">
        <v>-1.6457914760825823E-2</v>
      </c>
      <c r="F62" s="11">
        <v>3.1249999999999997E-3</v>
      </c>
      <c r="G62" s="11">
        <v>3.4583333333333337E-3</v>
      </c>
      <c r="H62" s="11">
        <v>3.6583333333333329E-3</v>
      </c>
      <c r="I62" s="11">
        <v>4.5500000000000002E-3</v>
      </c>
      <c r="J62" s="11">
        <v>3.8499999999999997E-3</v>
      </c>
      <c r="K62" s="11">
        <v>4.1833333333333332E-3</v>
      </c>
      <c r="L62" s="11">
        <v>4.4083333333333335E-3</v>
      </c>
      <c r="M62" s="11">
        <v>4.6500000000000005E-3</v>
      </c>
      <c r="N62" s="11">
        <v>3.8416666666666668E-3</v>
      </c>
      <c r="O62" s="11">
        <v>3.9500000000000004E-3</v>
      </c>
      <c r="P62" s="11">
        <v>4.5833333333333334E-3</v>
      </c>
      <c r="Q62" s="11">
        <v>7.658333333333333E-3</v>
      </c>
      <c r="S62" s="18" t="s">
        <v>317</v>
      </c>
      <c r="T62" s="18">
        <v>6.2385845909446846E-2</v>
      </c>
      <c r="U62" s="18">
        <v>7.5012317627639033E-2</v>
      </c>
      <c r="V62" s="18">
        <v>0.15239379591686153</v>
      </c>
      <c r="W62" s="18">
        <v>0.54094483848578567</v>
      </c>
      <c r="Y62" s="14"/>
      <c r="Z62"/>
    </row>
    <row r="63" spans="1:26" x14ac:dyDescent="0.25">
      <c r="A63" s="10" t="s">
        <v>61</v>
      </c>
      <c r="B63" s="11">
        <v>-2.2183083215673732E-2</v>
      </c>
      <c r="C63" s="11">
        <v>-1.115340470647758E-3</v>
      </c>
      <c r="D63" s="11">
        <v>7.4206148803943983E-4</v>
      </c>
      <c r="E63" s="11">
        <v>-1.1416318961520623E-2</v>
      </c>
      <c r="F63" s="11">
        <v>3.2666666666666664E-3</v>
      </c>
      <c r="G63" s="11">
        <v>3.5416666666666669E-3</v>
      </c>
      <c r="H63" s="11">
        <v>3.7166666666666667E-3</v>
      </c>
      <c r="I63" s="11">
        <v>4.3083333333333333E-3</v>
      </c>
      <c r="J63" s="11">
        <v>3.8083333333333337E-3</v>
      </c>
      <c r="K63" s="11">
        <v>4.0583333333333331E-3</v>
      </c>
      <c r="L63" s="11">
        <v>4.1916666666666673E-3</v>
      </c>
      <c r="M63" s="11">
        <v>4.4000000000000003E-3</v>
      </c>
      <c r="N63" s="11">
        <v>3.7999999999999996E-3</v>
      </c>
      <c r="O63" s="11">
        <v>3.8833333333333337E-3</v>
      </c>
      <c r="P63" s="11">
        <v>4.4416666666666667E-3</v>
      </c>
      <c r="Q63" s="11">
        <v>7.324999999999999E-3</v>
      </c>
      <c r="S63" s="18" t="s">
        <v>318</v>
      </c>
      <c r="T63" s="18">
        <v>3.8919937698372459E-3</v>
      </c>
      <c r="U63" s="18">
        <v>5.6268477958698049E-3</v>
      </c>
      <c r="V63" s="18">
        <v>2.3223869033950045E-2</v>
      </c>
      <c r="W63" s="18">
        <v>0.29262131828441279</v>
      </c>
      <c r="Y63" s="14"/>
      <c r="Z63"/>
    </row>
    <row r="64" spans="1:26" x14ac:dyDescent="0.25">
      <c r="A64" s="10" t="s">
        <v>62</v>
      </c>
      <c r="B64" s="11">
        <v>-7.1527457314258603E-3</v>
      </c>
      <c r="C64" s="11">
        <v>4.1612298024550961E-3</v>
      </c>
      <c r="D64" s="11">
        <v>-1.0504742582312944E-2</v>
      </c>
      <c r="E64" s="11">
        <v>-2.5133360689372147E-2</v>
      </c>
      <c r="F64" s="11">
        <v>3.316666666666667E-3</v>
      </c>
      <c r="G64" s="11">
        <v>3.5583333333333331E-3</v>
      </c>
      <c r="H64" s="11">
        <v>3.7083333333333339E-3</v>
      </c>
      <c r="I64" s="11">
        <v>4.3499999999999997E-3</v>
      </c>
      <c r="J64" s="11">
        <v>3.8083333333333337E-3</v>
      </c>
      <c r="K64" s="11">
        <v>4.1083333333333328E-3</v>
      </c>
      <c r="L64" s="11">
        <v>4.2750000000000002E-3</v>
      </c>
      <c r="M64" s="11">
        <v>4.5166666666666662E-3</v>
      </c>
      <c r="N64" s="11">
        <v>3.8083333333333337E-3</v>
      </c>
      <c r="O64" s="11">
        <v>3.8833333333333337E-3</v>
      </c>
      <c r="P64" s="11">
        <v>4.4166666666666668E-3</v>
      </c>
      <c r="Q64" s="11">
        <v>7.0666666666666664E-3</v>
      </c>
      <c r="S64" s="18" t="s">
        <v>319</v>
      </c>
      <c r="T64" s="18">
        <v>1.6556224387244511</v>
      </c>
      <c r="U64" s="18">
        <v>3.7688845238487736</v>
      </c>
      <c r="V64" s="18">
        <v>143.95646899831277</v>
      </c>
      <c r="W64" s="18">
        <v>257.83097573477545</v>
      </c>
      <c r="Y64" s="14"/>
      <c r="Z64"/>
    </row>
    <row r="65" spans="1:26" x14ac:dyDescent="0.25">
      <c r="A65" s="10" t="s">
        <v>63</v>
      </c>
      <c r="B65" s="11">
        <v>4.4852428538229086E-2</v>
      </c>
      <c r="C65" s="11">
        <v>5.8293789839800415E-2</v>
      </c>
      <c r="D65" s="11">
        <v>4.9053383153446643E-2</v>
      </c>
      <c r="E65" s="11">
        <v>3.0411449016100205E-2</v>
      </c>
      <c r="F65" s="11">
        <v>3.3083333333333333E-3</v>
      </c>
      <c r="G65" s="11">
        <v>3.6083333333333332E-3</v>
      </c>
      <c r="H65" s="11">
        <v>3.7333333333333337E-3</v>
      </c>
      <c r="I65" s="11">
        <v>4.3749999999999995E-3</v>
      </c>
      <c r="J65" s="11">
        <v>3.8416666666666668E-3</v>
      </c>
      <c r="K65" s="11">
        <v>4.1250000000000002E-3</v>
      </c>
      <c r="L65" s="11">
        <v>4.3E-3</v>
      </c>
      <c r="M65" s="11">
        <v>4.5416666666666669E-3</v>
      </c>
      <c r="N65" s="11">
        <v>3.8416666666666668E-3</v>
      </c>
      <c r="O65" s="11">
        <v>3.9166666666666664E-3</v>
      </c>
      <c r="P65" s="11">
        <v>4.3666666666666671E-3</v>
      </c>
      <c r="Q65" s="11">
        <v>6.9250000000000006E-3</v>
      </c>
      <c r="S65" s="18" t="s">
        <v>320</v>
      </c>
      <c r="T65" s="18">
        <v>-0.12200678604246633</v>
      </c>
      <c r="U65" s="18">
        <v>4.5562816791361559E-2</v>
      </c>
      <c r="V65" s="18">
        <v>9.7634883198197695</v>
      </c>
      <c r="W65" s="18">
        <v>15.774852924765138</v>
      </c>
      <c r="Y65" s="14"/>
      <c r="Z65"/>
    </row>
    <row r="66" spans="1:26" x14ac:dyDescent="0.25">
      <c r="A66" s="10" t="s">
        <v>64</v>
      </c>
      <c r="B66" s="11">
        <v>-6.9215646883251075E-2</v>
      </c>
      <c r="C66" s="11">
        <v>-9.1014606075785445E-2</v>
      </c>
      <c r="D66" s="11">
        <v>-9.0404000317485522E-2</v>
      </c>
      <c r="E66" s="11">
        <v>-8.0152894491129861E-2</v>
      </c>
      <c r="F66" s="11">
        <v>3.2999999999999995E-3</v>
      </c>
      <c r="G66" s="11">
        <v>3.6333333333333335E-3</v>
      </c>
      <c r="H66" s="11">
        <v>3.7499999999999999E-3</v>
      </c>
      <c r="I66" s="11">
        <v>4.1999999999999997E-3</v>
      </c>
      <c r="J66" s="11">
        <v>3.8249999999999998E-3</v>
      </c>
      <c r="K66" s="11">
        <v>3.9833333333333335E-3</v>
      </c>
      <c r="L66" s="11">
        <v>4.1083333333333328E-3</v>
      </c>
      <c r="M66" s="11">
        <v>4.333333333333334E-3</v>
      </c>
      <c r="N66" s="11">
        <v>3.8249999999999998E-3</v>
      </c>
      <c r="O66" s="11">
        <v>3.8999999999999994E-3</v>
      </c>
      <c r="P66" s="11">
        <v>4.208333333333333E-3</v>
      </c>
      <c r="Q66" s="11">
        <v>6.6916666666666661E-3</v>
      </c>
      <c r="S66" s="18" t="s">
        <v>321</v>
      </c>
      <c r="T66" s="18">
        <v>0.46467495979605411</v>
      </c>
      <c r="U66" s="18">
        <v>0.68065098105200206</v>
      </c>
      <c r="V66" s="18">
        <v>2.8536239812704642</v>
      </c>
      <c r="W66" s="18">
        <v>9.7406087629567288</v>
      </c>
      <c r="Y66" s="14"/>
      <c r="Z66"/>
    </row>
    <row r="67" spans="1:26" x14ac:dyDescent="0.25">
      <c r="A67" s="10" t="s">
        <v>65</v>
      </c>
      <c r="B67" s="11">
        <v>-1.2857572323844371E-2</v>
      </c>
      <c r="C67" s="11">
        <v>-6.7473118279569949E-2</v>
      </c>
      <c r="D67" s="11">
        <v>-4.4131762652704978E-2</v>
      </c>
      <c r="E67" s="11">
        <v>-6.3156225218080966E-2</v>
      </c>
      <c r="F67" s="11">
        <v>3.4666666666666665E-3</v>
      </c>
      <c r="G67" s="11">
        <v>3.7249999999999996E-3</v>
      </c>
      <c r="H67" s="11">
        <v>3.8583333333333334E-3</v>
      </c>
      <c r="I67" s="11">
        <v>4.2750000000000002E-3</v>
      </c>
      <c r="J67" s="11">
        <v>3.9166666666666664E-3</v>
      </c>
      <c r="K67" s="11">
        <v>4.0749999999999996E-3</v>
      </c>
      <c r="L67" s="11">
        <v>4.1916666666666673E-3</v>
      </c>
      <c r="M67" s="11">
        <v>4.3749999999999995E-3</v>
      </c>
      <c r="N67" s="11">
        <v>3.9166666666666664E-3</v>
      </c>
      <c r="O67" s="11">
        <v>3.9916666666666668E-3</v>
      </c>
      <c r="P67" s="11">
        <v>4.3083333333333333E-3</v>
      </c>
      <c r="Q67" s="11">
        <v>6.7250000000000009E-3</v>
      </c>
      <c r="S67" s="18" t="s">
        <v>322</v>
      </c>
      <c r="T67" s="18">
        <v>-0.23478218433809411</v>
      </c>
      <c r="U67" s="18">
        <v>-0.31674565560821488</v>
      </c>
      <c r="V67" s="18">
        <v>-0.69869056061995127</v>
      </c>
      <c r="W67" s="18">
        <v>-0.9021866546438233</v>
      </c>
      <c r="Y67" s="14"/>
      <c r="Z67"/>
    </row>
    <row r="68" spans="1:26" x14ac:dyDescent="0.25">
      <c r="A68" s="10" t="s">
        <v>66</v>
      </c>
      <c r="B68" s="11">
        <v>5.4661450402542543E-3</v>
      </c>
      <c r="C68" s="11">
        <v>-1.386566733929087E-2</v>
      </c>
      <c r="D68" s="11">
        <v>-2.6097176894812519E-2</v>
      </c>
      <c r="E68" s="11">
        <v>-5.5901672648472921E-2</v>
      </c>
      <c r="F68" s="11">
        <v>3.5083333333333334E-3</v>
      </c>
      <c r="G68" s="11">
        <v>3.8583333333333334E-3</v>
      </c>
      <c r="H68" s="11">
        <v>4.0083333333333334E-3</v>
      </c>
      <c r="I68" s="11">
        <v>4.2250000000000005E-3</v>
      </c>
      <c r="J68" s="11">
        <v>4.0166666666666666E-3</v>
      </c>
      <c r="K68" s="11">
        <v>4.0749999999999996E-3</v>
      </c>
      <c r="L68" s="11">
        <v>4.1666666666666666E-3</v>
      </c>
      <c r="M68" s="11">
        <v>4.3E-3</v>
      </c>
      <c r="N68" s="11">
        <v>4.0166666666666666E-3</v>
      </c>
      <c r="O68" s="11">
        <v>4.0833333333333338E-3</v>
      </c>
      <c r="P68" s="11">
        <v>4.3166666666666666E-3</v>
      </c>
      <c r="Q68" s="11">
        <v>6.7083333333333335E-3</v>
      </c>
      <c r="S68" s="18" t="s">
        <v>323</v>
      </c>
      <c r="T68" s="18">
        <v>0.22989277545796002</v>
      </c>
      <c r="U68" s="18">
        <v>0.36390532544378718</v>
      </c>
      <c r="V68" s="18">
        <v>2.1549334206505129</v>
      </c>
      <c r="W68" s="18">
        <v>8.8384221083129049</v>
      </c>
      <c r="Y68" s="14"/>
      <c r="Z68"/>
    </row>
    <row r="69" spans="1:26" x14ac:dyDescent="0.25">
      <c r="A69" s="10" t="s">
        <v>67</v>
      </c>
      <c r="B69" s="11">
        <v>4.0058713430308993E-2</v>
      </c>
      <c r="C69" s="11">
        <v>6.7109532579145953E-2</v>
      </c>
      <c r="D69" s="11">
        <v>4.4465534816689432E-2</v>
      </c>
      <c r="E69" s="11">
        <v>2.7202955205681011E-2</v>
      </c>
      <c r="F69" s="11">
        <v>3.6833333333333332E-3</v>
      </c>
      <c r="G69" s="11">
        <v>3.8999999999999994E-3</v>
      </c>
      <c r="H69" s="11">
        <v>4.0500000000000006E-3</v>
      </c>
      <c r="I69" s="11">
        <v>4.0916666666666671E-3</v>
      </c>
      <c r="J69" s="11">
        <v>3.9666666666666661E-3</v>
      </c>
      <c r="K69" s="11">
        <v>3.9749999999999994E-3</v>
      </c>
      <c r="L69" s="11">
        <v>4.0249999999999999E-3</v>
      </c>
      <c r="M69" s="11">
        <v>4.1166666666666669E-3</v>
      </c>
      <c r="N69" s="11">
        <v>3.9666666666666661E-3</v>
      </c>
      <c r="O69" s="11">
        <v>4.0249999999999999E-3</v>
      </c>
      <c r="P69" s="11">
        <v>4.2499999999999994E-3</v>
      </c>
      <c r="Q69" s="11">
        <v>6.6166666666666665E-3</v>
      </c>
      <c r="S69" s="18" t="s">
        <v>324</v>
      </c>
      <c r="T69" s="18">
        <v>2.2591017493600951</v>
      </c>
      <c r="U69" s="18">
        <v>2.6467659218192146</v>
      </c>
      <c r="V69" s="18">
        <v>3.6188211983699374</v>
      </c>
      <c r="W69" s="18">
        <v>9.3658017376117062</v>
      </c>
      <c r="Y69" s="14"/>
      <c r="Z69"/>
    </row>
    <row r="70" spans="1:26" x14ac:dyDescent="0.25">
      <c r="A70" s="10" t="s">
        <v>68</v>
      </c>
      <c r="B70" s="11">
        <v>9.4086724064545799E-3</v>
      </c>
      <c r="C70" s="11">
        <v>4.4774995034892635E-2</v>
      </c>
      <c r="D70" s="11">
        <v>5.0066186533844877E-2</v>
      </c>
      <c r="E70" s="11">
        <v>4.8164376865736637E-2</v>
      </c>
      <c r="F70" s="11">
        <v>3.7333333333333337E-3</v>
      </c>
      <c r="G70" s="11">
        <v>3.8666666666666663E-3</v>
      </c>
      <c r="H70" s="11">
        <v>3.9833333333333335E-3</v>
      </c>
      <c r="I70" s="11">
        <v>4.0416666666666665E-3</v>
      </c>
      <c r="J70" s="11">
        <v>3.8999999999999994E-3</v>
      </c>
      <c r="K70" s="11">
        <v>3.908333333333334E-3</v>
      </c>
      <c r="L70" s="11">
        <v>3.9666666666666661E-3</v>
      </c>
      <c r="M70" s="11">
        <v>4.0749999999999996E-3</v>
      </c>
      <c r="N70" s="11">
        <v>3.8999999999999994E-3</v>
      </c>
      <c r="O70" s="11">
        <v>3.933333333333333E-3</v>
      </c>
      <c r="P70" s="11">
        <v>4.1833333333333332E-3</v>
      </c>
      <c r="Q70" s="11">
        <v>6.5166666666666671E-3</v>
      </c>
      <c r="S70" s="18" t="s">
        <v>325</v>
      </c>
      <c r="T70" s="18">
        <v>276</v>
      </c>
      <c r="U70" s="18">
        <v>276</v>
      </c>
      <c r="V70" s="18">
        <v>276</v>
      </c>
      <c r="W70" s="18">
        <v>276</v>
      </c>
      <c r="Y70" s="14"/>
      <c r="Z70"/>
    </row>
    <row r="71" spans="1:26" x14ac:dyDescent="0.25">
      <c r="A71" s="10" t="s">
        <v>69</v>
      </c>
      <c r="B71" s="11">
        <v>-7.4197915356675019E-3</v>
      </c>
      <c r="C71" s="11">
        <v>1.4433949277974778E-2</v>
      </c>
      <c r="D71" s="11">
        <v>-1.6708509160835411E-2</v>
      </c>
      <c r="E71" s="11">
        <v>-2.3849971686486022E-2</v>
      </c>
      <c r="F71" s="11">
        <v>3.7333333333333337E-3</v>
      </c>
      <c r="G71" s="11">
        <v>3.8083333333333337E-3</v>
      </c>
      <c r="H71" s="11">
        <v>3.9583333333333337E-3</v>
      </c>
      <c r="I71" s="11">
        <v>3.9916666666666668E-3</v>
      </c>
      <c r="J71" s="11">
        <v>3.8666666666666663E-3</v>
      </c>
      <c r="K71" s="11">
        <v>3.8499999999999997E-3</v>
      </c>
      <c r="L71" s="11">
        <v>3.8916666666666665E-3</v>
      </c>
      <c r="M71" s="11">
        <v>3.9916666666666668E-3</v>
      </c>
      <c r="N71" s="11">
        <v>3.8583333333333334E-3</v>
      </c>
      <c r="O71" s="11">
        <v>3.8833333333333337E-3</v>
      </c>
      <c r="P71" s="11">
        <v>4.1083333333333328E-3</v>
      </c>
      <c r="Q71" s="11">
        <v>6.4333333333333326E-3</v>
      </c>
      <c r="Y71" s="14"/>
      <c r="Z71"/>
    </row>
    <row r="72" spans="1:26" x14ac:dyDescent="0.25">
      <c r="A72" s="10" t="s">
        <v>70</v>
      </c>
      <c r="B72" s="11">
        <v>4.3606904364416881E-2</v>
      </c>
      <c r="C72" s="11">
        <v>8.8460121866902802E-2</v>
      </c>
      <c r="D72" s="11">
        <v>9.367564454971157E-2</v>
      </c>
      <c r="E72" s="11">
        <v>6.1542398908036061E-2</v>
      </c>
      <c r="F72" s="11">
        <v>3.7249999999999996E-3</v>
      </c>
      <c r="G72" s="11">
        <v>3.8333333333333331E-3</v>
      </c>
      <c r="H72" s="11">
        <v>3.9583333333333337E-3</v>
      </c>
      <c r="I72" s="11">
        <v>4.0916666666666671E-3</v>
      </c>
      <c r="J72" s="11">
        <v>3.9166666666666664E-3</v>
      </c>
      <c r="K72" s="11">
        <v>3.933333333333333E-3</v>
      </c>
      <c r="L72" s="11">
        <v>3.9916666666666668E-3</v>
      </c>
      <c r="M72" s="11">
        <v>4.0916666666666671E-3</v>
      </c>
      <c r="N72" s="11">
        <v>3.9166666666666664E-3</v>
      </c>
      <c r="O72" s="11">
        <v>3.9416666666666671E-3</v>
      </c>
      <c r="P72" s="11">
        <v>4.208333333333333E-3</v>
      </c>
      <c r="Q72" s="11">
        <v>6.5333333333333328E-3</v>
      </c>
    </row>
    <row r="73" spans="1:26" x14ac:dyDescent="0.3">
      <c r="A73" s="10" t="s">
        <v>71</v>
      </c>
      <c r="B73" s="11">
        <v>3.3922029322916297E-3</v>
      </c>
      <c r="C73" s="11">
        <v>-1.0139567465523646E-2</v>
      </c>
      <c r="D73" s="11">
        <v>-3.2017722499826172E-2</v>
      </c>
      <c r="E73" s="11">
        <v>-2.574858961377113E-2</v>
      </c>
      <c r="F73" s="11">
        <v>3.741666666666667E-3</v>
      </c>
      <c r="G73" s="11">
        <v>3.9666666666666661E-3</v>
      </c>
      <c r="H73" s="11">
        <v>4.0833333333333338E-3</v>
      </c>
      <c r="I73" s="11">
        <v>4.1583333333333333E-3</v>
      </c>
      <c r="J73" s="11">
        <v>4.0416666666666665E-3</v>
      </c>
      <c r="K73" s="11">
        <v>4.0166666666666666E-3</v>
      </c>
      <c r="L73" s="11">
        <v>4.0666666666666663E-3</v>
      </c>
      <c r="M73" s="11">
        <v>4.1250000000000002E-3</v>
      </c>
      <c r="N73" s="11">
        <v>4.0416666666666665E-3</v>
      </c>
      <c r="O73" s="11">
        <v>4.0666666666666663E-3</v>
      </c>
      <c r="P73" s="11">
        <v>4.3166666666666666E-3</v>
      </c>
      <c r="Q73" s="11">
        <v>6.6416666666666664E-3</v>
      </c>
      <c r="S73" s="4" t="s">
        <v>327</v>
      </c>
    </row>
    <row r="74" spans="1:26" x14ac:dyDescent="0.3">
      <c r="A74" s="10" t="s">
        <v>72</v>
      </c>
      <c r="B74" s="11">
        <v>-4.7970847390072804E-2</v>
      </c>
      <c r="C74" s="11">
        <v>-8.9612033033267202E-2</v>
      </c>
      <c r="D74" s="11">
        <v>-3.4431444991789774E-2</v>
      </c>
      <c r="E74" s="11">
        <v>-4.9129753361379154E-2</v>
      </c>
      <c r="F74" s="11">
        <v>3.8583333333333334E-3</v>
      </c>
      <c r="G74" s="11">
        <v>4.1000000000000003E-3</v>
      </c>
      <c r="H74" s="11">
        <v>4.2250000000000005E-3</v>
      </c>
      <c r="I74" s="11">
        <v>4.2666666666666669E-3</v>
      </c>
      <c r="J74" s="11">
        <v>4.15E-3</v>
      </c>
      <c r="K74" s="11">
        <v>4.1416666666666659E-3</v>
      </c>
      <c r="L74" s="11">
        <v>4.1666666666666666E-3</v>
      </c>
      <c r="M74" s="11">
        <v>4.1999999999999997E-3</v>
      </c>
      <c r="N74" s="11">
        <v>4.15E-3</v>
      </c>
      <c r="O74" s="11">
        <v>4.1999999999999997E-3</v>
      </c>
      <c r="P74" s="11">
        <v>4.4333333333333334E-3</v>
      </c>
      <c r="Q74" s="11">
        <v>6.7583333333333323E-3</v>
      </c>
      <c r="S74" s="21" t="s">
        <v>326</v>
      </c>
      <c r="T74" s="22" t="s">
        <v>307</v>
      </c>
      <c r="U74" s="22" t="s">
        <v>308</v>
      </c>
      <c r="V74" s="22" t="s">
        <v>309</v>
      </c>
      <c r="W74" s="22" t="s">
        <v>310</v>
      </c>
    </row>
    <row r="75" spans="1:26" x14ac:dyDescent="0.3">
      <c r="A75" s="10" t="s">
        <v>73</v>
      </c>
      <c r="B75" s="11">
        <v>4.241862412344314E-2</v>
      </c>
      <c r="C75" s="11">
        <v>4.0316471122998208E-2</v>
      </c>
      <c r="D75" s="11">
        <v>4.3163097199341034E-2</v>
      </c>
      <c r="E75" s="11">
        <v>4.2611516907541933E-2</v>
      </c>
      <c r="F75" s="11">
        <v>3.8333333333333331E-3</v>
      </c>
      <c r="G75" s="11">
        <v>4.1250000000000002E-3</v>
      </c>
      <c r="H75" s="11">
        <v>4.2583333333333336E-3</v>
      </c>
      <c r="I75" s="11">
        <v>4.1666666666666666E-3</v>
      </c>
      <c r="J75" s="11">
        <v>4.1333333333333335E-3</v>
      </c>
      <c r="K75" s="11">
        <v>4.0916666666666671E-3</v>
      </c>
      <c r="L75" s="11">
        <v>4.1166666666666669E-3</v>
      </c>
      <c r="M75" s="11">
        <v>4.1749999999999999E-3</v>
      </c>
      <c r="N75" s="11">
        <v>4.1333333333333335E-3</v>
      </c>
      <c r="O75" s="11">
        <v>4.1916666666666673E-3</v>
      </c>
      <c r="P75" s="11">
        <v>4.4000000000000003E-3</v>
      </c>
      <c r="Q75" s="11">
        <v>6.7333333333333334E-3</v>
      </c>
      <c r="S75" s="22" t="s">
        <v>307</v>
      </c>
      <c r="T75" s="23">
        <v>1</v>
      </c>
      <c r="U75" s="23"/>
      <c r="V75" s="23"/>
      <c r="W75" s="23"/>
    </row>
    <row r="76" spans="1:26" x14ac:dyDescent="0.3">
      <c r="A76" s="10" t="s">
        <v>74</v>
      </c>
      <c r="B76" s="11">
        <v>2.026736280444074E-2</v>
      </c>
      <c r="C76" s="11">
        <v>4.9398742393252232E-2</v>
      </c>
      <c r="D76" s="11">
        <v>7.2188372424754857E-2</v>
      </c>
      <c r="E76" s="11">
        <v>7.9976037142429346E-2</v>
      </c>
      <c r="F76" s="11">
        <v>3.8333333333333331E-3</v>
      </c>
      <c r="G76" s="11">
        <v>4.1166666666666669E-3</v>
      </c>
      <c r="H76" s="11">
        <v>4.2583333333333336E-3</v>
      </c>
      <c r="I76" s="11">
        <v>4.15E-3</v>
      </c>
      <c r="J76" s="11">
        <v>4.0749999999999996E-3</v>
      </c>
      <c r="K76" s="11">
        <v>3.9916666666666668E-3</v>
      </c>
      <c r="L76" s="11">
        <v>4.0166666666666666E-3</v>
      </c>
      <c r="M76" s="11">
        <v>4.1166666666666669E-3</v>
      </c>
      <c r="N76" s="11">
        <v>4.0749999999999996E-3</v>
      </c>
      <c r="O76" s="11">
        <v>4.15E-3</v>
      </c>
      <c r="P76" s="11">
        <v>4.333333333333334E-3</v>
      </c>
      <c r="Q76" s="11">
        <v>6.6583333333333329E-3</v>
      </c>
      <c r="S76" s="22" t="s">
        <v>308</v>
      </c>
      <c r="T76" s="23">
        <v>0.6136819691613048</v>
      </c>
      <c r="U76" s="23">
        <v>1</v>
      </c>
      <c r="V76" s="23"/>
      <c r="W76" s="23"/>
    </row>
    <row r="77" spans="1:26" x14ac:dyDescent="0.3">
      <c r="A77" s="10" t="s">
        <v>75</v>
      </c>
      <c r="B77" s="11">
        <v>5.3837286134034497E-2</v>
      </c>
      <c r="C77" s="11">
        <v>0.12042601979242092</v>
      </c>
      <c r="D77" s="11">
        <v>8.4727884368674719E-2</v>
      </c>
      <c r="E77" s="11">
        <v>4.1433612228231539E-2</v>
      </c>
      <c r="F77" s="11">
        <v>3.8999999999999994E-3</v>
      </c>
      <c r="G77" s="11">
        <v>4.1250000000000002E-3</v>
      </c>
      <c r="H77" s="11">
        <v>4.2666666666666669E-3</v>
      </c>
      <c r="I77" s="11">
        <v>4.2583333333333336E-3</v>
      </c>
      <c r="J77" s="11">
        <v>4.1416666666666659E-3</v>
      </c>
      <c r="K77" s="11">
        <v>4.1166666666666669E-3</v>
      </c>
      <c r="L77" s="11">
        <v>4.1333333333333335E-3</v>
      </c>
      <c r="M77" s="11">
        <v>4.2250000000000005E-3</v>
      </c>
      <c r="N77" s="11">
        <v>4.1416666666666659E-3</v>
      </c>
      <c r="O77" s="11">
        <v>4.208333333333333E-3</v>
      </c>
      <c r="P77" s="11">
        <v>4.45E-3</v>
      </c>
      <c r="Q77" s="11">
        <v>6.7583333333333323E-3</v>
      </c>
      <c r="S77" s="22" t="s">
        <v>309</v>
      </c>
      <c r="T77" s="23">
        <v>7.2984623665793225E-2</v>
      </c>
      <c r="U77" s="23">
        <v>0.68900324065203478</v>
      </c>
      <c r="V77" s="23">
        <v>1</v>
      </c>
      <c r="W77" s="23"/>
    </row>
    <row r="78" spans="1:26" x14ac:dyDescent="0.3">
      <c r="A78" s="10" t="s">
        <v>76</v>
      </c>
      <c r="B78" s="11">
        <v>8.8806771566358189E-2</v>
      </c>
      <c r="C78" s="11">
        <v>0.19431055004120057</v>
      </c>
      <c r="D78" s="11">
        <v>0.16523430313543053</v>
      </c>
      <c r="E78" s="11">
        <v>0.10651299047168138</v>
      </c>
      <c r="F78" s="11">
        <v>3.8499999999999997E-3</v>
      </c>
      <c r="G78" s="11">
        <v>4.1999999999999997E-3</v>
      </c>
      <c r="H78" s="11">
        <v>4.3583333333333339E-3</v>
      </c>
      <c r="I78" s="11">
        <v>4.3583333333333339E-3</v>
      </c>
      <c r="J78" s="11">
        <v>4.2583333333333336E-3</v>
      </c>
      <c r="K78" s="11">
        <v>4.2499999999999994E-3</v>
      </c>
      <c r="L78" s="11">
        <v>4.2750000000000002E-3</v>
      </c>
      <c r="M78" s="11">
        <v>4.3499999999999997E-3</v>
      </c>
      <c r="N78" s="11">
        <v>4.2583333333333336E-3</v>
      </c>
      <c r="O78" s="11">
        <v>4.3166666666666666E-3</v>
      </c>
      <c r="P78" s="11">
        <v>4.5750000000000001E-3</v>
      </c>
      <c r="Q78" s="11">
        <v>6.875E-3</v>
      </c>
      <c r="S78" s="22" t="s">
        <v>310</v>
      </c>
      <c r="T78" s="23">
        <v>0.1822931685394362</v>
      </c>
      <c r="U78" s="23">
        <v>7.1598929636330563E-2</v>
      </c>
      <c r="V78" s="23">
        <v>-3.6056678105113676E-2</v>
      </c>
      <c r="W78" s="23">
        <v>1</v>
      </c>
    </row>
    <row r="79" spans="1:26" x14ac:dyDescent="0.25">
      <c r="A79" s="10" t="s">
        <v>77</v>
      </c>
      <c r="B79" s="11">
        <v>2.6066713633718371E-2</v>
      </c>
      <c r="C79" s="11">
        <v>2.422933314092968E-2</v>
      </c>
      <c r="D79" s="11">
        <v>2.42316251654036E-2</v>
      </c>
      <c r="E79" s="11">
        <v>4.1210370786366683E-2</v>
      </c>
      <c r="F79" s="11">
        <v>3.7833333333333334E-3</v>
      </c>
      <c r="G79" s="11">
        <v>4.1916666666666673E-3</v>
      </c>
      <c r="H79" s="11">
        <v>4.3749999999999995E-3</v>
      </c>
      <c r="I79" s="11">
        <v>4.5249999999999995E-3</v>
      </c>
      <c r="J79" s="11">
        <v>4.2916666666666667E-3</v>
      </c>
      <c r="K79" s="11">
        <v>4.3666666666666671E-3</v>
      </c>
      <c r="L79" s="11">
        <v>4.4583333333333332E-3</v>
      </c>
      <c r="M79" s="11">
        <v>4.5666666666666668E-3</v>
      </c>
      <c r="N79" s="11">
        <v>4.2916666666666667E-3</v>
      </c>
      <c r="O79" s="11">
        <v>4.3416666666666664E-3</v>
      </c>
      <c r="P79" s="11">
        <v>4.7000000000000002E-3</v>
      </c>
      <c r="Q79" s="11">
        <v>7.0166666666666667E-3</v>
      </c>
    </row>
    <row r="80" spans="1:26" x14ac:dyDescent="0.25">
      <c r="A80" s="10" t="s">
        <v>78</v>
      </c>
      <c r="B80" s="11">
        <v>9.4937011164845653E-2</v>
      </c>
      <c r="C80" s="11">
        <v>0.20286269036538718</v>
      </c>
      <c r="D80" s="11">
        <v>0.13662088658234919</v>
      </c>
      <c r="E80" s="11">
        <v>4.2160551695796689E-2</v>
      </c>
      <c r="F80" s="11">
        <v>3.8916666666666665E-3</v>
      </c>
      <c r="G80" s="11">
        <v>4.208333333333333E-3</v>
      </c>
      <c r="H80" s="11">
        <v>4.3833333333333337E-3</v>
      </c>
      <c r="I80" s="11">
        <v>4.6166666666666665E-3</v>
      </c>
      <c r="J80" s="11">
        <v>4.4083333333333335E-3</v>
      </c>
      <c r="K80" s="11">
        <v>4.4583333333333332E-3</v>
      </c>
      <c r="L80" s="11">
        <v>4.5249999999999995E-3</v>
      </c>
      <c r="M80" s="11">
        <v>4.5999999999999999E-3</v>
      </c>
      <c r="N80" s="11">
        <v>4.4083333333333335E-3</v>
      </c>
      <c r="O80" s="11">
        <v>4.4416666666666667E-3</v>
      </c>
      <c r="P80" s="11">
        <v>4.7916666666666672E-3</v>
      </c>
      <c r="Q80" s="11">
        <v>7.0916666666666663E-3</v>
      </c>
      <c r="T80"/>
      <c r="U80"/>
      <c r="V80"/>
      <c r="W80"/>
      <c r="X80"/>
    </row>
    <row r="81" spans="1:24" x14ac:dyDescent="0.25">
      <c r="A81" s="10" t="s">
        <v>79</v>
      </c>
      <c r="B81" s="11">
        <v>-2.753679297239232E-2</v>
      </c>
      <c r="C81" s="11">
        <v>-3.1609963214436092E-2</v>
      </c>
      <c r="D81" s="11">
        <v>-2.080817344019428E-2</v>
      </c>
      <c r="E81" s="11">
        <v>-4.4841778391167174E-2</v>
      </c>
      <c r="F81" s="11">
        <v>4.0916666666666671E-3</v>
      </c>
      <c r="G81" s="11">
        <v>4.3416666666666664E-3</v>
      </c>
      <c r="H81" s="11">
        <v>4.5166666666666662E-3</v>
      </c>
      <c r="I81" s="11">
        <v>4.5416666666666669E-3</v>
      </c>
      <c r="J81" s="11">
        <v>4.4166666666666668E-3</v>
      </c>
      <c r="K81" s="11">
        <v>4.4000000000000003E-3</v>
      </c>
      <c r="L81" s="11">
        <v>4.4416666666666667E-3</v>
      </c>
      <c r="M81" s="11">
        <v>4.5166666666666662E-3</v>
      </c>
      <c r="N81" s="11">
        <v>4.4083333333333335E-3</v>
      </c>
      <c r="O81" s="11">
        <v>4.5000000000000005E-3</v>
      </c>
      <c r="P81" s="11">
        <v>4.7499999999999999E-3</v>
      </c>
      <c r="Q81" s="11">
        <v>7.0166666666666667E-3</v>
      </c>
      <c r="T81"/>
      <c r="U81"/>
      <c r="V81"/>
      <c r="W81"/>
      <c r="X81"/>
    </row>
    <row r="82" spans="1:24" x14ac:dyDescent="0.25">
      <c r="A82" s="10" t="s">
        <v>80</v>
      </c>
      <c r="B82" s="11">
        <v>3.9615119350009172E-2</v>
      </c>
      <c r="C82" s="11">
        <v>1.5727466180845119E-2</v>
      </c>
      <c r="D82" s="11">
        <v>2.5438428713700566E-2</v>
      </c>
      <c r="E82" s="11">
        <v>2.5066762994594392E-2</v>
      </c>
      <c r="F82" s="11">
        <v>4.1416666666666659E-3</v>
      </c>
      <c r="G82" s="11">
        <v>4.45E-3</v>
      </c>
      <c r="H82" s="11">
        <v>4.6750000000000003E-3</v>
      </c>
      <c r="I82" s="11">
        <v>4.6500000000000005E-3</v>
      </c>
      <c r="J82" s="11">
        <v>4.4916666666666664E-3</v>
      </c>
      <c r="K82" s="11">
        <v>4.4916666666666664E-3</v>
      </c>
      <c r="L82" s="11">
        <v>4.5333333333333337E-3</v>
      </c>
      <c r="M82" s="11">
        <v>4.5999999999999999E-3</v>
      </c>
      <c r="N82" s="11">
        <v>4.5000000000000005E-3</v>
      </c>
      <c r="O82" s="11">
        <v>4.6249999999999998E-3</v>
      </c>
      <c r="P82" s="11">
        <v>4.875E-3</v>
      </c>
      <c r="Q82" s="11">
        <v>7.1166666666666661E-3</v>
      </c>
      <c r="T82"/>
      <c r="U82"/>
      <c r="V82"/>
      <c r="W82"/>
      <c r="X82"/>
    </row>
    <row r="83" spans="1:24" x14ac:dyDescent="0.25">
      <c r="A83" s="10" t="s">
        <v>81</v>
      </c>
      <c r="B83" s="11">
        <v>5.3655221513866876E-2</v>
      </c>
      <c r="C83" s="11">
        <v>6.1195251739664273E-2</v>
      </c>
      <c r="D83" s="11">
        <v>-4.4404996205250881E-2</v>
      </c>
      <c r="E83" s="11">
        <v>1.9520237615787486E-2</v>
      </c>
      <c r="F83" s="11">
        <v>4.1666666666666666E-3</v>
      </c>
      <c r="G83" s="11">
        <v>4.45E-3</v>
      </c>
      <c r="H83" s="11">
        <v>4.7499999999999999E-3</v>
      </c>
      <c r="I83" s="11">
        <v>4.7000000000000002E-3</v>
      </c>
      <c r="J83" s="11">
        <v>4.45E-3</v>
      </c>
      <c r="K83" s="11">
        <v>4.5166666666666662E-3</v>
      </c>
      <c r="L83" s="11">
        <v>4.5750000000000001E-3</v>
      </c>
      <c r="M83" s="11">
        <v>4.6333333333333331E-3</v>
      </c>
      <c r="N83" s="11">
        <v>4.5000000000000005E-3</v>
      </c>
      <c r="O83" s="11">
        <v>4.6500000000000005E-3</v>
      </c>
      <c r="P83" s="11">
        <v>4.9833333333333335E-3</v>
      </c>
      <c r="Q83" s="11">
        <v>7.1666666666666658E-3</v>
      </c>
      <c r="T83"/>
      <c r="U83"/>
      <c r="V83"/>
      <c r="W83"/>
      <c r="X83"/>
    </row>
    <row r="84" spans="1:24" x14ac:dyDescent="0.25">
      <c r="A84" s="10" t="s">
        <v>82</v>
      </c>
      <c r="B84" s="11">
        <v>-6.7441669993959688E-2</v>
      </c>
      <c r="C84" s="11">
        <v>-0.11488734987288511</v>
      </c>
      <c r="D84" s="11">
        <v>-8.8501352861200491E-2</v>
      </c>
      <c r="E84" s="11">
        <v>-8.4227288999716085E-2</v>
      </c>
      <c r="F84" s="11">
        <v>4.1666666666666666E-3</v>
      </c>
      <c r="G84" s="11">
        <v>4.5249999999999995E-3</v>
      </c>
      <c r="H84" s="11">
        <v>4.8083333333333329E-3</v>
      </c>
      <c r="I84" s="11">
        <v>4.8500000000000001E-3</v>
      </c>
      <c r="J84" s="11">
        <v>4.4666666666666665E-3</v>
      </c>
      <c r="K84" s="11">
        <v>4.6166666666666665E-3</v>
      </c>
      <c r="L84" s="11">
        <v>4.6583333333333329E-3</v>
      </c>
      <c r="M84" s="11">
        <v>4.6750000000000003E-3</v>
      </c>
      <c r="N84" s="11">
        <v>4.5416666666666669E-3</v>
      </c>
      <c r="O84" s="11">
        <v>4.7333333333333333E-3</v>
      </c>
      <c r="P84" s="11">
        <v>5.1333333333333335E-3</v>
      </c>
      <c r="Q84" s="11">
        <v>7.2666666666666669E-3</v>
      </c>
      <c r="T84"/>
      <c r="U84"/>
      <c r="V84"/>
      <c r="W84"/>
      <c r="X84"/>
    </row>
    <row r="85" spans="1:24" x14ac:dyDescent="0.25">
      <c r="A85" s="10" t="s">
        <v>83</v>
      </c>
      <c r="B85" s="11">
        <v>3.540473929486958E-3</v>
      </c>
      <c r="C85" s="11">
        <v>-3.1301998320206553E-2</v>
      </c>
      <c r="D85" s="11">
        <v>2.1266383607163441E-3</v>
      </c>
      <c r="E85" s="11">
        <v>-5.0698263776555605E-2</v>
      </c>
      <c r="F85" s="11">
        <v>4.1583333333333333E-3</v>
      </c>
      <c r="G85" s="11">
        <v>4.7750000000000006E-3</v>
      </c>
      <c r="H85" s="11">
        <v>5.208333333333333E-3</v>
      </c>
      <c r="I85" s="11">
        <v>5.208333333333333E-3</v>
      </c>
      <c r="J85" s="11">
        <v>4.6666666666666662E-3</v>
      </c>
      <c r="K85" s="11">
        <v>4.9083333333333331E-3</v>
      </c>
      <c r="L85" s="11">
        <v>4.9166666666666673E-3</v>
      </c>
      <c r="M85" s="11">
        <v>4.8500000000000001E-3</v>
      </c>
      <c r="N85" s="11">
        <v>4.7499999999999999E-3</v>
      </c>
      <c r="O85" s="11">
        <v>5.0083333333333334E-3</v>
      </c>
      <c r="P85" s="11">
        <v>5.6083333333333332E-3</v>
      </c>
      <c r="Q85" s="11">
        <v>7.6333333333333331E-3</v>
      </c>
    </row>
    <row r="86" spans="1:24" x14ac:dyDescent="0.25">
      <c r="A86" s="10" t="s">
        <v>84</v>
      </c>
      <c r="B86" s="11">
        <v>-0.13727409968056711</v>
      </c>
      <c r="C86" s="11">
        <v>-0.15376813313102478</v>
      </c>
      <c r="D86" s="11">
        <v>-0.11008525343924316</v>
      </c>
      <c r="E86" s="11">
        <v>-0.1354529060108203</v>
      </c>
      <c r="F86" s="11">
        <v>4.1583333333333333E-3</v>
      </c>
      <c r="G86" s="11">
        <v>4.8416666666666669E-3</v>
      </c>
      <c r="H86" s="11">
        <v>5.45E-3</v>
      </c>
      <c r="I86" s="11">
        <v>4.8333333333333327E-3</v>
      </c>
      <c r="J86" s="11">
        <v>4.5583333333333335E-3</v>
      </c>
      <c r="K86" s="11">
        <v>4.5333333333333337E-3</v>
      </c>
      <c r="L86" s="11">
        <v>4.5916666666666666E-3</v>
      </c>
      <c r="M86" s="11">
        <v>4.6333333333333331E-3</v>
      </c>
      <c r="N86" s="11">
        <v>4.5583333333333335E-3</v>
      </c>
      <c r="O86" s="11">
        <v>4.8666666666666667E-3</v>
      </c>
      <c r="P86" s="11">
        <v>5.5333333333333337E-3</v>
      </c>
      <c r="Q86" s="11">
        <v>7.3166666666666658E-3</v>
      </c>
    </row>
    <row r="87" spans="1:24" x14ac:dyDescent="0.25">
      <c r="A87" s="10" t="s">
        <v>85</v>
      </c>
      <c r="B87" s="11">
        <v>4.2332638039143569E-2</v>
      </c>
      <c r="C87" s="11">
        <v>0.1016175880684151</v>
      </c>
      <c r="D87" s="11">
        <v>8.3586563221912213E-2</v>
      </c>
      <c r="E87" s="11">
        <v>7.7360226003547763E-2</v>
      </c>
      <c r="F87" s="11">
        <v>4.1416666666666659E-3</v>
      </c>
      <c r="G87" s="11">
        <v>4.4000000000000003E-3</v>
      </c>
      <c r="H87" s="11">
        <v>4.8500000000000001E-3</v>
      </c>
      <c r="I87" s="11">
        <v>4.4416666666666667E-3</v>
      </c>
      <c r="J87" s="11">
        <v>4.1666666666666666E-3</v>
      </c>
      <c r="K87" s="11">
        <v>4.2166666666666663E-3</v>
      </c>
      <c r="L87" s="11">
        <v>4.2833333333333326E-3</v>
      </c>
      <c r="M87" s="11">
        <v>4.4000000000000003E-3</v>
      </c>
      <c r="N87" s="11">
        <v>4.1666666666666666E-3</v>
      </c>
      <c r="O87" s="11">
        <v>4.3E-3</v>
      </c>
      <c r="P87" s="11">
        <v>5.2249999999999996E-3</v>
      </c>
      <c r="Q87" s="11">
        <v>7.1166666666666661E-3</v>
      </c>
    </row>
    <row r="88" spans="1:24" x14ac:dyDescent="0.25">
      <c r="A88" s="10" t="s">
        <v>86</v>
      </c>
      <c r="B88" s="11">
        <v>7.913432763193104E-3</v>
      </c>
      <c r="C88" s="11">
        <v>-6.0116961116789908E-2</v>
      </c>
      <c r="D88" s="11">
        <v>-4.8606229177491918E-2</v>
      </c>
      <c r="E88" s="11">
        <v>-1.7516846052992665E-2</v>
      </c>
      <c r="F88" s="11">
        <v>4.1416666666666659E-3</v>
      </c>
      <c r="G88" s="11">
        <v>4.3749999999999995E-3</v>
      </c>
      <c r="H88" s="11">
        <v>4.691666666666666E-3</v>
      </c>
      <c r="I88" s="11">
        <v>4.5166666666666662E-3</v>
      </c>
      <c r="J88" s="11">
        <v>4.208333333333333E-3</v>
      </c>
      <c r="K88" s="11">
        <v>4.2916666666666667E-3</v>
      </c>
      <c r="L88" s="11">
        <v>4.333333333333334E-3</v>
      </c>
      <c r="M88" s="11">
        <v>4.4666666666666665E-3</v>
      </c>
      <c r="N88" s="11">
        <v>4.208333333333333E-3</v>
      </c>
      <c r="O88" s="11">
        <v>4.4000000000000003E-3</v>
      </c>
      <c r="P88" s="11">
        <v>5.1083333333333336E-3</v>
      </c>
      <c r="Q88" s="11">
        <v>7.1166666666666661E-3</v>
      </c>
    </row>
    <row r="89" spans="1:24" x14ac:dyDescent="0.25">
      <c r="A89" s="10" t="s">
        <v>87</v>
      </c>
      <c r="B89" s="11">
        <v>7.4747291874113719E-2</v>
      </c>
      <c r="C89" s="11">
        <v>6.0181295393864631E-2</v>
      </c>
      <c r="D89" s="11">
        <v>2.248066373778182E-2</v>
      </c>
      <c r="E89" s="11">
        <v>3.987896656063211E-3</v>
      </c>
      <c r="F89" s="11">
        <v>4.1583333333333333E-3</v>
      </c>
      <c r="G89" s="11">
        <v>4.4833333333333331E-3</v>
      </c>
      <c r="H89" s="11">
        <v>4.8583333333333334E-3</v>
      </c>
      <c r="I89" s="11">
        <v>4.4166666666666668E-3</v>
      </c>
      <c r="J89" s="11">
        <v>4.2166666666666663E-3</v>
      </c>
      <c r="K89" s="11">
        <v>4.15E-3</v>
      </c>
      <c r="L89" s="11">
        <v>4.1833333333333332E-3</v>
      </c>
      <c r="M89" s="11">
        <v>4.3083333333333333E-3</v>
      </c>
      <c r="N89" s="11">
        <v>4.2250000000000005E-3</v>
      </c>
      <c r="O89" s="11">
        <v>4.4833333333333331E-3</v>
      </c>
      <c r="P89" s="11">
        <v>4.9249999999999997E-3</v>
      </c>
      <c r="Q89" s="11">
        <v>7.0500000000000007E-3</v>
      </c>
    </row>
    <row r="90" spans="1:24" x14ac:dyDescent="0.25">
      <c r="A90" s="10" t="s">
        <v>88</v>
      </c>
      <c r="B90" s="11">
        <v>1.3470641413659314E-2</v>
      </c>
      <c r="C90" s="11">
        <v>1.5246842102945952E-2</v>
      </c>
      <c r="D90" s="11">
        <v>3.9377562722888247E-2</v>
      </c>
      <c r="E90" s="11">
        <v>7.9286575376340696E-3</v>
      </c>
      <c r="F90" s="11">
        <v>4.1583333333333333E-3</v>
      </c>
      <c r="G90" s="11">
        <v>4.4666666666666665E-3</v>
      </c>
      <c r="H90" s="11">
        <v>4.875E-3</v>
      </c>
      <c r="I90" s="11">
        <v>4.7000000000000002E-3</v>
      </c>
      <c r="J90" s="11">
        <v>4.2250000000000005E-3</v>
      </c>
      <c r="K90" s="11">
        <v>4.4000000000000003E-3</v>
      </c>
      <c r="L90" s="11">
        <v>4.4666666666666665E-3</v>
      </c>
      <c r="M90" s="11">
        <v>4.5833333333333334E-3</v>
      </c>
      <c r="N90" s="11">
        <v>4.3083333333333333E-3</v>
      </c>
      <c r="O90" s="11">
        <v>4.5583333333333335E-3</v>
      </c>
      <c r="P90" s="11">
        <v>5.1833333333333332E-3</v>
      </c>
      <c r="Q90" s="11">
        <v>7.4083333333333336E-3</v>
      </c>
    </row>
    <row r="91" spans="1:24" x14ac:dyDescent="0.25">
      <c r="A91" s="10" t="s">
        <v>89</v>
      </c>
      <c r="B91" s="11">
        <v>-0.10535209706908974</v>
      </c>
      <c r="C91" s="11">
        <v>-3.967613794060515E-2</v>
      </c>
      <c r="D91" s="11">
        <v>-2.9066120511793494E-2</v>
      </c>
      <c r="E91" s="11">
        <v>-9.5008816989956182E-2</v>
      </c>
      <c r="F91" s="11">
        <v>4.1083333333333328E-3</v>
      </c>
      <c r="G91" s="11">
        <v>4.4666666666666665E-3</v>
      </c>
      <c r="H91" s="11">
        <v>4.8666666666666667E-3</v>
      </c>
      <c r="I91" s="11">
        <v>5.025E-3</v>
      </c>
      <c r="J91" s="11">
        <v>4.3499999999999997E-3</v>
      </c>
      <c r="K91" s="11">
        <v>4.7499999999999999E-3</v>
      </c>
      <c r="L91" s="11">
        <v>4.8333333333333327E-3</v>
      </c>
      <c r="M91" s="11">
        <v>4.9083333333333331E-3</v>
      </c>
      <c r="N91" s="11">
        <v>4.5500000000000002E-3</v>
      </c>
      <c r="O91" s="11">
        <v>4.8333333333333327E-3</v>
      </c>
      <c r="P91" s="11">
        <v>5.5666666666666668E-3</v>
      </c>
      <c r="Q91" s="11">
        <v>7.8500000000000011E-3</v>
      </c>
    </row>
    <row r="92" spans="1:24" x14ac:dyDescent="0.25">
      <c r="A92" s="10" t="s">
        <v>90</v>
      </c>
      <c r="B92" s="11">
        <v>-4.3468029106672891E-2</v>
      </c>
      <c r="C92" s="11">
        <v>-7.6669842803791383E-2</v>
      </c>
      <c r="D92" s="11">
        <v>-7.275458656682729E-2</v>
      </c>
      <c r="E92" s="11">
        <v>-8.598925769667394E-2</v>
      </c>
      <c r="F92" s="11">
        <v>4.15E-3</v>
      </c>
      <c r="G92" s="11">
        <v>4.5999999999999999E-3</v>
      </c>
      <c r="H92" s="11">
        <v>4.9583333333333337E-3</v>
      </c>
      <c r="I92" s="11">
        <v>5.2416666666666662E-3</v>
      </c>
      <c r="J92" s="11">
        <v>4.5083333333333338E-3</v>
      </c>
      <c r="K92" s="11">
        <v>4.966666666666667E-3</v>
      </c>
      <c r="L92" s="11">
        <v>5.0166666666666667E-3</v>
      </c>
      <c r="M92" s="11">
        <v>5.025E-3</v>
      </c>
      <c r="N92" s="11">
        <v>4.8666666666666667E-3</v>
      </c>
      <c r="O92" s="11">
        <v>5.2166666666666672E-3</v>
      </c>
      <c r="P92" s="11">
        <v>5.8250000000000003E-3</v>
      </c>
      <c r="Q92" s="11">
        <v>8.2000000000000007E-3</v>
      </c>
    </row>
    <row r="93" spans="1:24" x14ac:dyDescent="0.25">
      <c r="A93" s="10" t="s">
        <v>91</v>
      </c>
      <c r="B93" s="11">
        <v>-7.5918060806961202E-2</v>
      </c>
      <c r="C93" s="11">
        <v>-7.6448291883696562E-2</v>
      </c>
      <c r="D93" s="11">
        <v>-9.4135621107063194E-2</v>
      </c>
      <c r="E93" s="11">
        <v>-0.12820702951208673</v>
      </c>
      <c r="F93" s="11">
        <v>4.3416666666666664E-3</v>
      </c>
      <c r="G93" s="11">
        <v>4.8083333333333329E-3</v>
      </c>
      <c r="H93" s="11">
        <v>5.1250000000000002E-3</v>
      </c>
      <c r="I93" s="11">
        <v>5.1583333333333333E-3</v>
      </c>
      <c r="J93" s="11">
        <v>4.5333333333333337E-3</v>
      </c>
      <c r="K93" s="11">
        <v>4.8083333333333329E-3</v>
      </c>
      <c r="L93" s="11">
        <v>4.8583333333333334E-3</v>
      </c>
      <c r="M93" s="11">
        <v>4.9249999999999997E-3</v>
      </c>
      <c r="N93" s="11">
        <v>4.8916666666666666E-3</v>
      </c>
      <c r="O93" s="11">
        <v>5.4333333333333326E-3</v>
      </c>
      <c r="P93" s="11">
        <v>5.9249999999999997E-3</v>
      </c>
      <c r="Q93" s="11">
        <v>8.3333333333333332E-3</v>
      </c>
    </row>
    <row r="94" spans="1:24" x14ac:dyDescent="0.25">
      <c r="A94" s="10" t="s">
        <v>92</v>
      </c>
      <c r="B94" s="11">
        <v>-1.3494009668605053E-2</v>
      </c>
      <c r="C94" s="11">
        <v>-4.1284938093775383E-2</v>
      </c>
      <c r="D94" s="11">
        <v>-7.0390688709318638E-2</v>
      </c>
      <c r="E94" s="11">
        <v>-6.2749851152504879E-2</v>
      </c>
      <c r="F94" s="11">
        <v>4.3416666666666664E-3</v>
      </c>
      <c r="G94" s="11">
        <v>4.8250000000000003E-3</v>
      </c>
      <c r="H94" s="11">
        <v>5.3166666666666666E-3</v>
      </c>
      <c r="I94" s="11">
        <v>5.2500000000000003E-3</v>
      </c>
      <c r="J94" s="11">
        <v>4.5666666666666668E-3</v>
      </c>
      <c r="K94" s="11">
        <v>4.8416666666666669E-3</v>
      </c>
      <c r="L94" s="11">
        <v>4.8833333333333341E-3</v>
      </c>
      <c r="M94" s="11">
        <v>4.9916666666666668E-3</v>
      </c>
      <c r="N94" s="11">
        <v>4.9166666666666673E-3</v>
      </c>
      <c r="O94" s="11">
        <v>5.5083333333333338E-3</v>
      </c>
      <c r="P94" s="11">
        <v>6.2166666666666663E-3</v>
      </c>
      <c r="Q94" s="11">
        <v>8.6999999999999994E-3</v>
      </c>
    </row>
    <row r="95" spans="1:24" x14ac:dyDescent="0.25">
      <c r="A95" s="10" t="s">
        <v>93</v>
      </c>
      <c r="B95" s="11">
        <v>-0.21899235817164278</v>
      </c>
      <c r="C95" s="11">
        <v>-0.31674565560821488</v>
      </c>
      <c r="D95" s="11">
        <v>-0.29197735156904181</v>
      </c>
      <c r="E95" s="11">
        <v>-0.30115479728656674</v>
      </c>
      <c r="F95" s="11">
        <v>4.0749999999999996E-3</v>
      </c>
      <c r="G95" s="11">
        <v>5.025E-3</v>
      </c>
      <c r="H95" s="11">
        <v>5.8916666666666666E-3</v>
      </c>
      <c r="I95" s="11">
        <v>4.875E-3</v>
      </c>
      <c r="J95" s="11">
        <v>4.333333333333334E-3</v>
      </c>
      <c r="K95" s="11">
        <v>4.241666666666667E-3</v>
      </c>
      <c r="L95" s="11">
        <v>4.3E-3</v>
      </c>
      <c r="M95" s="11">
        <v>4.6083333333333332E-3</v>
      </c>
      <c r="N95" s="11">
        <v>4.7166666666666668E-3</v>
      </c>
      <c r="O95" s="11">
        <v>5.7916666666666672E-3</v>
      </c>
      <c r="P95" s="11">
        <v>6.6249999999999998E-3</v>
      </c>
      <c r="Q95" s="11">
        <v>9.233333333333333E-3</v>
      </c>
    </row>
    <row r="96" spans="1:24" x14ac:dyDescent="0.25">
      <c r="A96" s="10" t="s">
        <v>94</v>
      </c>
      <c r="B96" s="11">
        <v>-4.4257927234038749E-2</v>
      </c>
      <c r="C96" s="11">
        <v>4.231375560855323E-2</v>
      </c>
      <c r="D96" s="11">
        <v>-5.7725340016327568E-4</v>
      </c>
      <c r="E96" s="11">
        <v>-1.7855403694443871E-3</v>
      </c>
      <c r="F96" s="11">
        <v>3.3333333333333335E-3</v>
      </c>
      <c r="G96" s="11">
        <v>4.6833333333333336E-3</v>
      </c>
      <c r="H96" s="11">
        <v>6.1249999999999994E-3</v>
      </c>
      <c r="I96" s="11">
        <v>5.0416666666666665E-3</v>
      </c>
      <c r="J96" s="11">
        <v>4.1916666666666673E-3</v>
      </c>
      <c r="K96" s="11">
        <v>4.1416666666666659E-3</v>
      </c>
      <c r="L96" s="11">
        <v>4.3083333333333333E-3</v>
      </c>
      <c r="M96" s="11">
        <v>4.7750000000000006E-3</v>
      </c>
      <c r="N96" s="11">
        <v>4.4416666666666667E-3</v>
      </c>
      <c r="O96" s="11">
        <v>5.3416666666666673E-3</v>
      </c>
      <c r="P96" s="11">
        <v>7.1333333333333344E-3</v>
      </c>
      <c r="Q96" s="11">
        <v>9.9833333333333336E-3</v>
      </c>
    </row>
    <row r="97" spans="1:17" x14ac:dyDescent="0.25">
      <c r="A97" s="10" t="s">
        <v>95</v>
      </c>
      <c r="B97" s="11">
        <v>4.1426423854921852E-2</v>
      </c>
      <c r="C97" s="11">
        <v>8.3573129396799797E-2</v>
      </c>
      <c r="D97" s="11">
        <v>6.2294851024864442E-2</v>
      </c>
      <c r="E97" s="11">
        <v>7.9907636269025598E-2</v>
      </c>
      <c r="F97" s="11">
        <v>2.725E-3</v>
      </c>
      <c r="G97" s="11">
        <v>3.8999999999999994E-3</v>
      </c>
      <c r="H97" s="11">
        <v>5.7749999999999998E-3</v>
      </c>
      <c r="I97" s="11">
        <v>4.4083333333333335E-3</v>
      </c>
      <c r="J97" s="11">
        <v>3.3250000000000003E-3</v>
      </c>
      <c r="K97" s="11">
        <v>3.3083333333333333E-3</v>
      </c>
      <c r="L97" s="11">
        <v>3.5833333333333329E-3</v>
      </c>
      <c r="M97" s="11">
        <v>4.0583333333333331E-3</v>
      </c>
      <c r="N97" s="11">
        <v>3.4000000000000002E-3</v>
      </c>
      <c r="O97" s="11">
        <v>4.4416666666666667E-3</v>
      </c>
      <c r="P97" s="11">
        <v>6.9583333333333329E-3</v>
      </c>
      <c r="Q97" s="11">
        <v>1.025E-2</v>
      </c>
    </row>
    <row r="98" spans="1:17" x14ac:dyDescent="0.25">
      <c r="A98" s="10" t="s">
        <v>96</v>
      </c>
      <c r="B98" s="11">
        <v>3.6590045315012386E-2</v>
      </c>
      <c r="C98" s="11">
        <v>8.8759090648800971E-4</v>
      </c>
      <c r="D98" s="11">
        <v>4.6454573182860968E-2</v>
      </c>
      <c r="E98" s="11">
        <v>9.893088390302654E-2</v>
      </c>
      <c r="F98" s="11">
        <v>2.0250000000000003E-3</v>
      </c>
      <c r="G98" s="11">
        <v>2.6833333333333331E-3</v>
      </c>
      <c r="H98" s="11">
        <v>4.3166666666666666E-3</v>
      </c>
      <c r="I98" s="11">
        <v>3.8083333333333337E-3</v>
      </c>
      <c r="J98" s="11">
        <v>2.2666666666666668E-3</v>
      </c>
      <c r="K98" s="11">
        <v>2.8666666666666667E-3</v>
      </c>
      <c r="L98" s="11">
        <v>3.3083333333333333E-3</v>
      </c>
      <c r="M98" s="11">
        <v>3.6833333333333332E-3</v>
      </c>
      <c r="N98" s="11">
        <v>2.2916666666666667E-3</v>
      </c>
      <c r="O98" s="11">
        <v>2.7750000000000001E-3</v>
      </c>
      <c r="P98" s="11">
        <v>6.1166666666666661E-3</v>
      </c>
      <c r="Q98" s="11">
        <v>9.9583333333333329E-3</v>
      </c>
    </row>
    <row r="99" spans="1:17" x14ac:dyDescent="0.25">
      <c r="A99" s="10" t="s">
        <v>97</v>
      </c>
      <c r="B99" s="11">
        <v>-9.5724522082477601E-2</v>
      </c>
      <c r="C99" s="11">
        <v>-2.93932545699001E-2</v>
      </c>
      <c r="D99" s="11">
        <v>-5.1324293498923685E-3</v>
      </c>
      <c r="E99" s="11">
        <v>-4.6314058646204376E-3</v>
      </c>
      <c r="F99" s="11">
        <v>1.7166666666666667E-3</v>
      </c>
      <c r="G99" s="11">
        <v>2.2500000000000003E-3</v>
      </c>
      <c r="H99" s="11">
        <v>2.9583333333333332E-3</v>
      </c>
      <c r="I99" s="11">
        <v>4.3083333333333333E-3</v>
      </c>
      <c r="J99" s="11">
        <v>1.9666666666666665E-3</v>
      </c>
      <c r="K99" s="11">
        <v>3.15E-3</v>
      </c>
      <c r="L99" s="11">
        <v>3.8333333333333331E-3</v>
      </c>
      <c r="M99" s="11">
        <v>4.3666666666666671E-3</v>
      </c>
      <c r="N99" s="11">
        <v>2.0999999999999999E-3</v>
      </c>
      <c r="O99" s="11">
        <v>2.4583333333333336E-3</v>
      </c>
      <c r="P99" s="11">
        <v>5.8916666666666666E-3</v>
      </c>
      <c r="Q99" s="11">
        <v>1.0333333333333333E-2</v>
      </c>
    </row>
    <row r="100" spans="1:17" x14ac:dyDescent="0.25">
      <c r="A100" s="10" t="s">
        <v>98</v>
      </c>
      <c r="B100" s="11">
        <v>0.13388888888888878</v>
      </c>
      <c r="C100" s="11">
        <v>0.1325321622776639</v>
      </c>
      <c r="D100" s="11">
        <v>0.14103560282784541</v>
      </c>
      <c r="E100" s="11">
        <v>0.1603204757578261</v>
      </c>
      <c r="F100" s="11">
        <v>1.475E-3</v>
      </c>
      <c r="G100" s="11">
        <v>2.0416666666666669E-3</v>
      </c>
      <c r="H100" s="11">
        <v>2.6166666666666669E-3</v>
      </c>
      <c r="I100" s="11">
        <v>4.1333333333333335E-3</v>
      </c>
      <c r="J100" s="11">
        <v>2.0916666666666666E-3</v>
      </c>
      <c r="K100" s="11">
        <v>3.075E-3</v>
      </c>
      <c r="L100" s="11">
        <v>3.741666666666667E-3</v>
      </c>
      <c r="M100" s="11">
        <v>4.1416666666666659E-3</v>
      </c>
      <c r="N100" s="11">
        <v>2.1749999999999999E-3</v>
      </c>
      <c r="O100" s="11">
        <v>2.5833333333333333E-3</v>
      </c>
      <c r="P100" s="11">
        <v>5.1166666666666661E-3</v>
      </c>
      <c r="Q100" s="11">
        <v>1.01E-2</v>
      </c>
    </row>
    <row r="101" spans="1:17" x14ac:dyDescent="0.25">
      <c r="A101" s="10" t="s">
        <v>99</v>
      </c>
      <c r="B101" s="11">
        <v>0.12156063848990441</v>
      </c>
      <c r="C101" s="11">
        <v>0.21096255814709997</v>
      </c>
      <c r="D101" s="11">
        <v>0.22994741953849762</v>
      </c>
      <c r="E101" s="11">
        <v>0.18873386484434326</v>
      </c>
      <c r="F101" s="11">
        <v>1.4916666666666665E-3</v>
      </c>
      <c r="G101" s="11">
        <v>2.0166666666666666E-3</v>
      </c>
      <c r="H101" s="11">
        <v>2.5666666666666667E-3</v>
      </c>
      <c r="I101" s="11">
        <v>3.9749999999999994E-3</v>
      </c>
      <c r="J101" s="11">
        <v>2.075E-3</v>
      </c>
      <c r="K101" s="11">
        <v>3.133333333333333E-3</v>
      </c>
      <c r="L101" s="11">
        <v>3.6916666666666664E-3</v>
      </c>
      <c r="M101" s="11">
        <v>4.0833333333333338E-3</v>
      </c>
      <c r="N101" s="11">
        <v>2.15E-3</v>
      </c>
      <c r="O101" s="11">
        <v>2.3166666666666665E-3</v>
      </c>
      <c r="P101" s="11">
        <v>4.7333333333333333E-3</v>
      </c>
      <c r="Q101" s="11">
        <v>9.841666666666667E-3</v>
      </c>
    </row>
    <row r="102" spans="1:17" x14ac:dyDescent="0.25">
      <c r="A102" s="10" t="s">
        <v>100</v>
      </c>
      <c r="B102" s="11">
        <v>1.7987568880816093E-2</v>
      </c>
      <c r="C102" s="11">
        <v>2.094223960543919E-2</v>
      </c>
      <c r="D102" s="11">
        <v>2.0458361697299716E-2</v>
      </c>
      <c r="E102" s="11">
        <v>5.553115892850001E-2</v>
      </c>
      <c r="F102" s="11">
        <v>1.5916666666666666E-3</v>
      </c>
      <c r="G102" s="11">
        <v>2.0083333333333333E-3</v>
      </c>
      <c r="H102" s="11">
        <v>2.5249999999999999E-3</v>
      </c>
      <c r="I102" s="11">
        <v>4.0916666666666671E-3</v>
      </c>
      <c r="J102" s="11">
        <v>2.1333333333333334E-3</v>
      </c>
      <c r="K102" s="11">
        <v>3.1916666666666669E-3</v>
      </c>
      <c r="L102" s="11">
        <v>3.7750000000000001E-3</v>
      </c>
      <c r="M102" s="11">
        <v>4.208333333333333E-3</v>
      </c>
      <c r="N102" s="11">
        <v>2.1833333333333336E-3</v>
      </c>
      <c r="O102" s="11">
        <v>2.4083333333333335E-3</v>
      </c>
      <c r="P102" s="11">
        <v>4.3E-3</v>
      </c>
      <c r="Q102" s="11">
        <v>9.5250000000000005E-3</v>
      </c>
    </row>
    <row r="103" spans="1:17" x14ac:dyDescent="0.25">
      <c r="A103" s="10" t="s">
        <v>101</v>
      </c>
      <c r="B103" s="11">
        <v>1.4831433604866723E-3</v>
      </c>
      <c r="C103" s="11">
        <v>-3.1484668129601233E-2</v>
      </c>
      <c r="D103" s="11">
        <v>-1.9016445934767614E-2</v>
      </c>
      <c r="E103" s="11">
        <v>-8.2545385779122502E-2</v>
      </c>
      <c r="F103" s="11">
        <v>1.6083333333333331E-3</v>
      </c>
      <c r="G103" s="11">
        <v>2.0083333333333333E-3</v>
      </c>
      <c r="H103" s="11">
        <v>2.3999999999999998E-3</v>
      </c>
      <c r="I103" s="11">
        <v>4.2750000000000002E-3</v>
      </c>
      <c r="J103" s="11">
        <v>2.3749999999999999E-3</v>
      </c>
      <c r="K103" s="11">
        <v>3.4083333333333331E-3</v>
      </c>
      <c r="L103" s="11">
        <v>3.933333333333333E-3</v>
      </c>
      <c r="M103" s="11">
        <v>4.3833333333333337E-3</v>
      </c>
      <c r="N103" s="11">
        <v>2.3833333333333332E-3</v>
      </c>
      <c r="O103" s="11">
        <v>2.6583333333333333E-3</v>
      </c>
      <c r="P103" s="11">
        <v>4.3416666666666664E-3</v>
      </c>
      <c r="Q103" s="11">
        <v>9.4999999999999998E-3</v>
      </c>
    </row>
    <row r="104" spans="1:17" x14ac:dyDescent="0.25">
      <c r="A104" s="10" t="s">
        <v>102</v>
      </c>
      <c r="B104" s="11">
        <v>0.13117280470294612</v>
      </c>
      <c r="C104" s="11">
        <v>7.272095019723325E-2</v>
      </c>
      <c r="D104" s="11">
        <v>5.4619143901134273E-2</v>
      </c>
      <c r="E104" s="11">
        <v>3.9575389054931562E-2</v>
      </c>
      <c r="F104" s="11">
        <v>1.6166666666666666E-3</v>
      </c>
      <c r="G104" s="11">
        <v>2.0083333333333333E-3</v>
      </c>
      <c r="H104" s="11">
        <v>2.3E-3</v>
      </c>
      <c r="I104" s="11">
        <v>4.2750000000000002E-3</v>
      </c>
      <c r="J104" s="11">
        <v>2.2916666666666667E-3</v>
      </c>
      <c r="K104" s="11">
        <v>3.4083333333333331E-3</v>
      </c>
      <c r="L104" s="11">
        <v>3.8416666666666668E-3</v>
      </c>
      <c r="M104" s="11">
        <v>4.3166666666666666E-3</v>
      </c>
      <c r="N104" s="11">
        <v>2.3500000000000001E-3</v>
      </c>
      <c r="O104" s="11">
        <v>2.6250000000000002E-3</v>
      </c>
      <c r="P104" s="11">
        <v>4.5500000000000002E-3</v>
      </c>
      <c r="Q104" s="11">
        <v>9.6083333333333333E-3</v>
      </c>
    </row>
    <row r="105" spans="1:17" x14ac:dyDescent="0.25">
      <c r="A105" s="10" t="s">
        <v>103</v>
      </c>
      <c r="B105" s="11">
        <v>2.2821521611994203E-2</v>
      </c>
      <c r="C105" s="11">
        <v>1.3047662462644985E-2</v>
      </c>
      <c r="D105" s="11">
        <v>3.4716072733525234E-2</v>
      </c>
      <c r="E105" s="11">
        <v>2.0521463269554917E-2</v>
      </c>
      <c r="F105" s="11">
        <v>1.6499999999999998E-3</v>
      </c>
      <c r="G105" s="11">
        <v>2.0666666666666667E-3</v>
      </c>
      <c r="H105" s="11">
        <v>2.3166666666666665E-3</v>
      </c>
      <c r="I105" s="11">
        <v>4.4583333333333332E-3</v>
      </c>
      <c r="J105" s="11">
        <v>2.6166666666666669E-3</v>
      </c>
      <c r="K105" s="11">
        <v>3.6833333333333332E-3</v>
      </c>
      <c r="L105" s="11">
        <v>4.0916666666666671E-3</v>
      </c>
      <c r="M105" s="11">
        <v>4.5333333333333337E-3</v>
      </c>
      <c r="N105" s="11">
        <v>2.7583333333333331E-3</v>
      </c>
      <c r="O105" s="11">
        <v>2.9166666666666668E-3</v>
      </c>
      <c r="P105" s="11">
        <v>4.783333333333333E-3</v>
      </c>
      <c r="Q105" s="11">
        <v>9.8916666666666649E-3</v>
      </c>
    </row>
    <row r="106" spans="1:17" x14ac:dyDescent="0.25">
      <c r="A106" s="10" t="s">
        <v>104</v>
      </c>
      <c r="B106" s="11">
        <v>6.0309539589099952E-2</v>
      </c>
      <c r="C106" s="11">
        <v>8.4447466576003227E-3</v>
      </c>
      <c r="D106" s="11">
        <v>-2.8815235183169564E-2</v>
      </c>
      <c r="E106" s="11">
        <v>-1.7019623081406737E-2</v>
      </c>
      <c r="F106" s="11">
        <v>1.6499999999999998E-3</v>
      </c>
      <c r="G106" s="11">
        <v>2.2000000000000001E-3</v>
      </c>
      <c r="H106" s="11">
        <v>2.3833333333333332E-3</v>
      </c>
      <c r="I106" s="11">
        <v>4.4416666666666667E-3</v>
      </c>
      <c r="J106" s="11">
        <v>2.8666666666666667E-3</v>
      </c>
      <c r="K106" s="11">
        <v>3.666666666666667E-3</v>
      </c>
      <c r="L106" s="11">
        <v>4.0416666666666665E-3</v>
      </c>
      <c r="M106" s="11">
        <v>4.4833333333333331E-3</v>
      </c>
      <c r="N106" s="11">
        <v>2.891666666666667E-3</v>
      </c>
      <c r="O106" s="11">
        <v>3.2666666666666664E-3</v>
      </c>
      <c r="P106" s="11">
        <v>4.6500000000000005E-3</v>
      </c>
      <c r="Q106" s="11">
        <v>9.8083333333333338E-3</v>
      </c>
    </row>
    <row r="107" spans="1:17" x14ac:dyDescent="0.25">
      <c r="A107" s="10" t="s">
        <v>105</v>
      </c>
      <c r="B107" s="11">
        <v>-5.7804495428585526E-2</v>
      </c>
      <c r="C107" s="11">
        <v>-4.3635191749919429E-2</v>
      </c>
      <c r="D107" s="11">
        <v>-3.7917611327373008E-2</v>
      </c>
      <c r="E107" s="11">
        <v>-3.8502589239830846E-2</v>
      </c>
      <c r="F107" s="11">
        <v>1.6666666666666668E-3</v>
      </c>
      <c r="G107" s="11">
        <v>2.3250000000000002E-3</v>
      </c>
      <c r="H107" s="11">
        <v>2.4750000000000002E-3</v>
      </c>
      <c r="I107" s="11">
        <v>4.4583333333333332E-3</v>
      </c>
      <c r="J107" s="11">
        <v>2.9333333333333334E-3</v>
      </c>
      <c r="K107" s="11">
        <v>3.7249999999999996E-3</v>
      </c>
      <c r="L107" s="11">
        <v>4.0916666666666671E-3</v>
      </c>
      <c r="M107" s="11">
        <v>4.5416666666666669E-3</v>
      </c>
      <c r="N107" s="11">
        <v>2.9499999999999999E-3</v>
      </c>
      <c r="O107" s="11">
        <v>3.3333333333333335E-3</v>
      </c>
      <c r="P107" s="11">
        <v>4.6666666666666662E-3</v>
      </c>
      <c r="Q107" s="11">
        <v>9.8333333333333345E-3</v>
      </c>
    </row>
    <row r="108" spans="1:17" x14ac:dyDescent="0.25">
      <c r="A108" s="10" t="s">
        <v>106</v>
      </c>
      <c r="B108" s="11">
        <v>-1.2630483561510095E-2</v>
      </c>
      <c r="C108" s="11">
        <v>-4.0851452092859265E-2</v>
      </c>
      <c r="D108" s="11">
        <v>-3.9714369558837989E-2</v>
      </c>
      <c r="E108" s="11">
        <v>-4.5512477901574616E-2</v>
      </c>
      <c r="F108" s="11">
        <v>1.6666666666666668E-3</v>
      </c>
      <c r="G108" s="11">
        <v>2.3250000000000002E-3</v>
      </c>
      <c r="H108" s="11">
        <v>2.4750000000000002E-3</v>
      </c>
      <c r="I108" s="11">
        <v>4.4083333333333335E-3</v>
      </c>
      <c r="J108" s="11">
        <v>2.7333333333333328E-3</v>
      </c>
      <c r="K108" s="11">
        <v>3.6000000000000003E-3</v>
      </c>
      <c r="L108" s="11">
        <v>4.0333333333333332E-3</v>
      </c>
      <c r="M108" s="11">
        <v>4.4916666666666664E-3</v>
      </c>
      <c r="N108" s="11">
        <v>2.7416666666666666E-3</v>
      </c>
      <c r="O108" s="11">
        <v>3.1583333333333337E-3</v>
      </c>
      <c r="P108" s="11">
        <v>4.5249999999999995E-3</v>
      </c>
      <c r="Q108" s="11">
        <v>9.6666666666666654E-3</v>
      </c>
    </row>
    <row r="109" spans="1:17" x14ac:dyDescent="0.25">
      <c r="A109" s="10" t="s">
        <v>107</v>
      </c>
      <c r="B109" s="11">
        <v>8.2792646216068327E-2</v>
      </c>
      <c r="C109" s="11">
        <v>7.3756580583090897E-2</v>
      </c>
      <c r="D109" s="11">
        <v>7.600914924944685E-2</v>
      </c>
      <c r="E109" s="11">
        <v>0.10606909028256388</v>
      </c>
      <c r="F109" s="11">
        <v>1.6666666666666668E-3</v>
      </c>
      <c r="G109" s="11">
        <v>2.3500000000000001E-3</v>
      </c>
      <c r="H109" s="11">
        <v>2.5000000000000001E-3</v>
      </c>
      <c r="I109" s="11">
        <v>4.3749999999999995E-3</v>
      </c>
      <c r="J109" s="11">
        <v>2.7500000000000003E-3</v>
      </c>
      <c r="K109" s="11">
        <v>3.5333333333333332E-3</v>
      </c>
      <c r="L109" s="11">
        <v>3.9666666666666661E-3</v>
      </c>
      <c r="M109" s="11">
        <v>4.4249999999999992E-3</v>
      </c>
      <c r="N109" s="11">
        <v>2.7916666666666667E-3</v>
      </c>
      <c r="O109" s="11">
        <v>3.1750000000000003E-3</v>
      </c>
      <c r="P109" s="11">
        <v>4.4583333333333332E-3</v>
      </c>
      <c r="Q109" s="11">
        <v>9.5416666666666653E-3</v>
      </c>
    </row>
    <row r="110" spans="1:17" x14ac:dyDescent="0.25">
      <c r="A110" s="10" t="s">
        <v>108</v>
      </c>
      <c r="B110" s="11">
        <v>-4.5515932401357775E-2</v>
      </c>
      <c r="C110" s="11">
        <v>-7.991039967784154E-2</v>
      </c>
      <c r="D110" s="11">
        <v>-4.2377038598907013E-2</v>
      </c>
      <c r="E110" s="11">
        <v>-3.3101621979477101E-2</v>
      </c>
      <c r="F110" s="11">
        <v>1.6666666666666668E-3</v>
      </c>
      <c r="G110" s="11">
        <v>2.3999999999999998E-3</v>
      </c>
      <c r="H110" s="11">
        <v>2.6000000000000003E-3</v>
      </c>
      <c r="I110" s="11">
        <v>4.3916666666666661E-3</v>
      </c>
      <c r="J110" s="11">
        <v>2.7416666666666666E-3</v>
      </c>
      <c r="K110" s="11">
        <v>3.5750000000000001E-3</v>
      </c>
      <c r="L110" s="11">
        <v>4.0333333333333332E-3</v>
      </c>
      <c r="M110" s="11">
        <v>4.4583333333333332E-3</v>
      </c>
      <c r="N110" s="11">
        <v>2.7750000000000001E-3</v>
      </c>
      <c r="O110" s="11">
        <v>3.1583333333333337E-3</v>
      </c>
      <c r="P110" s="11">
        <v>4.5000000000000005E-3</v>
      </c>
      <c r="Q110" s="11">
        <v>9.5583333333333336E-3</v>
      </c>
    </row>
    <row r="111" spans="1:17" x14ac:dyDescent="0.25">
      <c r="A111" s="10" t="s">
        <v>109</v>
      </c>
      <c r="B111" s="11">
        <v>-9.413639260675578E-3</v>
      </c>
      <c r="C111" s="11">
        <v>3.3864923270509367E-3</v>
      </c>
      <c r="D111" s="11">
        <v>3.2137753772321621E-2</v>
      </c>
      <c r="E111" s="11">
        <v>2.1064502487061199E-2</v>
      </c>
      <c r="F111" s="11">
        <v>1.6666666666666668E-3</v>
      </c>
      <c r="G111" s="11">
        <v>2.3999999999999998E-3</v>
      </c>
      <c r="H111" s="11">
        <v>2.6000000000000003E-3</v>
      </c>
      <c r="I111" s="11">
        <v>4.241666666666667E-3</v>
      </c>
      <c r="J111" s="11">
        <v>2.6000000000000003E-3</v>
      </c>
      <c r="K111" s="11">
        <v>3.4916666666666672E-3</v>
      </c>
      <c r="L111" s="11">
        <v>3.9666666666666661E-3</v>
      </c>
      <c r="M111" s="11">
        <v>4.4166666666666668E-3</v>
      </c>
      <c r="N111" s="11">
        <v>2.65E-3</v>
      </c>
      <c r="O111" s="11">
        <v>3.0000000000000005E-3</v>
      </c>
      <c r="P111" s="11">
        <v>4.4333333333333334E-3</v>
      </c>
      <c r="Q111" s="11">
        <v>9.4916666666666673E-3</v>
      </c>
    </row>
    <row r="112" spans="1:17" x14ac:dyDescent="0.25">
      <c r="A112" s="10" t="s">
        <v>110</v>
      </c>
      <c r="B112" s="11">
        <v>6.5222007038855181E-2</v>
      </c>
      <c r="C112" s="11">
        <v>3.7567337680748561E-2</v>
      </c>
      <c r="D112" s="11">
        <v>5.2495929366896794E-2</v>
      </c>
      <c r="E112" s="11">
        <v>1.7178470701930924E-2</v>
      </c>
      <c r="F112" s="11">
        <v>1.6749999999999996E-3</v>
      </c>
      <c r="G112" s="11">
        <v>2.3583333333333334E-3</v>
      </c>
      <c r="H112" s="11">
        <v>2.5500000000000002E-3</v>
      </c>
      <c r="I112" s="11">
        <v>3.8999999999999994E-3</v>
      </c>
      <c r="J112" s="11">
        <v>2.3583333333333334E-3</v>
      </c>
      <c r="K112" s="11">
        <v>3.283333333333333E-3</v>
      </c>
      <c r="L112" s="11">
        <v>3.7249999999999996E-3</v>
      </c>
      <c r="M112" s="11">
        <v>4.1000000000000003E-3</v>
      </c>
      <c r="N112" s="11">
        <v>2.4083333333333335E-3</v>
      </c>
      <c r="O112" s="11">
        <v>2.6333333333333334E-3</v>
      </c>
      <c r="P112" s="11">
        <v>4.1833333333333332E-3</v>
      </c>
      <c r="Q112" s="11">
        <v>9.233333333333333E-3</v>
      </c>
    </row>
    <row r="113" spans="1:17" x14ac:dyDescent="0.25">
      <c r="A113" s="10" t="s">
        <v>111</v>
      </c>
      <c r="B113" s="11">
        <v>3.2556172988644654E-2</v>
      </c>
      <c r="C113" s="11">
        <v>-6.4426624065918999E-3</v>
      </c>
      <c r="D113" s="11">
        <v>3.7352328005559494E-2</v>
      </c>
      <c r="E113" s="11">
        <v>1.5531081552720346E-2</v>
      </c>
      <c r="F113" s="11">
        <v>1.6666666666666668E-3</v>
      </c>
      <c r="G113" s="11">
        <v>2.0916666666666666E-3</v>
      </c>
      <c r="H113" s="11">
        <v>2.2666666666666668E-3</v>
      </c>
      <c r="I113" s="11">
        <v>3.8583333333333334E-3</v>
      </c>
      <c r="J113" s="11">
        <v>2.225E-3</v>
      </c>
      <c r="K113" s="11">
        <v>3.1416666666666663E-3</v>
      </c>
      <c r="L113" s="11">
        <v>3.7000000000000002E-3</v>
      </c>
      <c r="M113" s="11">
        <v>4.0916666666666671E-3</v>
      </c>
      <c r="N113" s="11">
        <v>2.2500000000000003E-3</v>
      </c>
      <c r="O113" s="11">
        <v>2.4333333333333334E-3</v>
      </c>
      <c r="P113" s="11">
        <v>3.908333333333334E-3</v>
      </c>
      <c r="Q113" s="11">
        <v>8.9583333333333338E-3</v>
      </c>
    </row>
    <row r="114" spans="1:17" x14ac:dyDescent="0.25">
      <c r="A114" s="10" t="s">
        <v>112</v>
      </c>
      <c r="B114" s="11">
        <v>-5.9374085990055572E-2</v>
      </c>
      <c r="C114" s="11">
        <v>-4.2603719296760927E-2</v>
      </c>
      <c r="D114" s="11">
        <v>-5.2595481334386074E-2</v>
      </c>
      <c r="E114" s="11">
        <v>-6.5546539379474911E-2</v>
      </c>
      <c r="F114" s="11">
        <v>1.6749999999999996E-3</v>
      </c>
      <c r="G114" s="11">
        <v>2.0416666666666669E-3</v>
      </c>
      <c r="H114" s="11">
        <v>2.225E-3</v>
      </c>
      <c r="I114" s="11">
        <v>3.8999999999999994E-3</v>
      </c>
      <c r="J114" s="11">
        <v>2.2750000000000001E-3</v>
      </c>
      <c r="K114" s="11">
        <v>3.0833333333333338E-3</v>
      </c>
      <c r="L114" s="11">
        <v>3.6749999999999999E-3</v>
      </c>
      <c r="M114" s="11">
        <v>4.1250000000000002E-3</v>
      </c>
      <c r="N114" s="11">
        <v>2.3749999999999999E-3</v>
      </c>
      <c r="O114" s="11">
        <v>2.5666666666666667E-3</v>
      </c>
      <c r="P114" s="11">
        <v>3.7333333333333337E-3</v>
      </c>
      <c r="Q114" s="11">
        <v>8.7833333333333322E-3</v>
      </c>
    </row>
    <row r="115" spans="1:17" x14ac:dyDescent="0.25">
      <c r="A115" s="10" t="s">
        <v>113</v>
      </c>
      <c r="B115" s="11">
        <v>3.2611940298507495E-2</v>
      </c>
      <c r="C115" s="11">
        <v>6.5188688105274201E-2</v>
      </c>
      <c r="D115" s="11">
        <v>2.7601939459241019E-2</v>
      </c>
      <c r="E115" s="11">
        <v>1.1442115156716159E-3</v>
      </c>
      <c r="F115" s="11">
        <v>1.6666666666666668E-3</v>
      </c>
      <c r="G115" s="11">
        <v>2.0416666666666669E-3</v>
      </c>
      <c r="H115" s="11">
        <v>2.2666666666666668E-3</v>
      </c>
      <c r="I115" s="11">
        <v>3.9666666666666661E-3</v>
      </c>
      <c r="J115" s="11">
        <v>2.4333333333333334E-3</v>
      </c>
      <c r="K115" s="11">
        <v>3.1249999999999997E-3</v>
      </c>
      <c r="L115" s="11">
        <v>3.6749999999999999E-3</v>
      </c>
      <c r="M115" s="11">
        <v>4.1083333333333328E-3</v>
      </c>
      <c r="N115" s="11">
        <v>2.5249999999999999E-3</v>
      </c>
      <c r="O115" s="11">
        <v>2.7166666666666663E-3</v>
      </c>
      <c r="P115" s="11">
        <v>3.8750000000000004E-3</v>
      </c>
      <c r="Q115" s="11">
        <v>8.8499999999999985E-3</v>
      </c>
    </row>
    <row r="116" spans="1:17" x14ac:dyDescent="0.25">
      <c r="A116" s="10" t="s">
        <v>114</v>
      </c>
      <c r="B116" s="11">
        <v>3.9718387897183904E-2</v>
      </c>
      <c r="C116" s="11">
        <v>1.2929626114421659E-2</v>
      </c>
      <c r="D116" s="11">
        <v>1.8595125947163667E-2</v>
      </c>
      <c r="E116" s="11">
        <v>-1.7408873831585021E-2</v>
      </c>
      <c r="F116" s="11">
        <v>1.8333333333333335E-3</v>
      </c>
      <c r="G116" s="11">
        <v>2.15E-3</v>
      </c>
      <c r="H116" s="11">
        <v>2.3416666666666668E-3</v>
      </c>
      <c r="I116" s="11">
        <v>4.0166666666666666E-3</v>
      </c>
      <c r="J116" s="11">
        <v>2.6166666666666669E-3</v>
      </c>
      <c r="K116" s="11">
        <v>3.2333333333333333E-3</v>
      </c>
      <c r="L116" s="11">
        <v>3.7083333333333339E-3</v>
      </c>
      <c r="M116" s="11">
        <v>4.0916666666666671E-3</v>
      </c>
      <c r="N116" s="11">
        <v>2.6416666666666667E-3</v>
      </c>
      <c r="O116" s="11">
        <v>2.8416666666666664E-3</v>
      </c>
      <c r="P116" s="11">
        <v>4.0083333333333334E-3</v>
      </c>
      <c r="Q116" s="11">
        <v>8.9583333333333338E-3</v>
      </c>
    </row>
    <row r="117" spans="1:17" x14ac:dyDescent="0.25">
      <c r="A117" s="10" t="s">
        <v>115</v>
      </c>
      <c r="B117" s="11">
        <v>-9.8355528009314332E-3</v>
      </c>
      <c r="C117" s="11">
        <v>-1.817660491741142E-3</v>
      </c>
      <c r="D117" s="11">
        <v>-2.0813060436688333E-2</v>
      </c>
      <c r="E117" s="11">
        <v>-3.4769965728528425E-2</v>
      </c>
      <c r="F117" s="11">
        <v>1.8916666666666667E-3</v>
      </c>
      <c r="G117" s="11">
        <v>2.1916666666666668E-3</v>
      </c>
      <c r="H117" s="11">
        <v>2.3749999999999999E-3</v>
      </c>
      <c r="I117" s="11">
        <v>3.8583333333333334E-3</v>
      </c>
      <c r="J117" s="11">
        <v>2.6083333333333336E-3</v>
      </c>
      <c r="K117" s="11">
        <v>3.1083333333333332E-3</v>
      </c>
      <c r="L117" s="11">
        <v>3.5583333333333331E-3</v>
      </c>
      <c r="M117" s="11">
        <v>3.8999999999999994E-3</v>
      </c>
      <c r="N117" s="11">
        <v>2.6583333333333333E-3</v>
      </c>
      <c r="O117" s="11">
        <v>2.8166666666666665E-3</v>
      </c>
      <c r="P117" s="11">
        <v>3.8999999999999994E-3</v>
      </c>
      <c r="Q117" s="11">
        <v>8.8499999999999985E-3</v>
      </c>
    </row>
    <row r="118" spans="1:17" x14ac:dyDescent="0.25">
      <c r="A118" s="10" t="s">
        <v>116</v>
      </c>
      <c r="B118" s="11">
        <v>7.5037586067707551E-2</v>
      </c>
      <c r="C118" s="11">
        <v>0.10369272278675147</v>
      </c>
      <c r="D118" s="11">
        <v>6.4801202394934254E-2</v>
      </c>
      <c r="E118" s="11">
        <v>6.0338705859568381E-2</v>
      </c>
      <c r="F118" s="11">
        <v>1.8916666666666667E-3</v>
      </c>
      <c r="G118" s="11">
        <v>2.2166666666666667E-3</v>
      </c>
      <c r="H118" s="11">
        <v>2.3500000000000001E-3</v>
      </c>
      <c r="I118" s="11">
        <v>3.4583333333333337E-3</v>
      </c>
      <c r="J118" s="11">
        <v>2.4916666666666668E-3</v>
      </c>
      <c r="K118" s="11">
        <v>2.8999999999999998E-3</v>
      </c>
      <c r="L118" s="11">
        <v>3.2583333333333336E-3</v>
      </c>
      <c r="M118" s="11">
        <v>3.5666666666666672E-3</v>
      </c>
      <c r="N118" s="11">
        <v>2.5249999999999999E-3</v>
      </c>
      <c r="O118" s="11">
        <v>2.7000000000000006E-3</v>
      </c>
      <c r="P118" s="11">
        <v>3.6749999999999999E-3</v>
      </c>
      <c r="Q118" s="11">
        <v>8.6333333333333331E-3</v>
      </c>
    </row>
    <row r="119" spans="1:17" x14ac:dyDescent="0.25">
      <c r="A119" s="10" t="s">
        <v>117</v>
      </c>
      <c r="B119" s="11">
        <v>-8.8154629750561474E-4</v>
      </c>
      <c r="C119" s="11">
        <v>4.474684662074873E-2</v>
      </c>
      <c r="D119" s="11">
        <v>8.2446952108417376E-2</v>
      </c>
      <c r="E119" s="11">
        <v>6.8391679350583559E-2</v>
      </c>
      <c r="F119" s="11">
        <v>1.8833333333333332E-3</v>
      </c>
      <c r="G119" s="11">
        <v>2.2166666666666667E-3</v>
      </c>
      <c r="H119" s="11">
        <v>2.3333333333333331E-3</v>
      </c>
      <c r="I119" s="11">
        <v>3.225E-3</v>
      </c>
      <c r="J119" s="11">
        <v>2.3333333333333331E-3</v>
      </c>
      <c r="K119" s="11">
        <v>2.7000000000000006E-3</v>
      </c>
      <c r="L119" s="11">
        <v>3.0500000000000002E-3</v>
      </c>
      <c r="M119" s="11">
        <v>3.4250000000000005E-3</v>
      </c>
      <c r="N119" s="11">
        <v>2.3916666666666665E-3</v>
      </c>
      <c r="O119" s="11">
        <v>2.5416666666666665E-3</v>
      </c>
      <c r="P119" s="11">
        <v>3.4416666666666662E-3</v>
      </c>
      <c r="Q119" s="11">
        <v>8.4500000000000009E-3</v>
      </c>
    </row>
    <row r="120" spans="1:17" x14ac:dyDescent="0.25">
      <c r="A120" s="10" t="s">
        <v>118</v>
      </c>
      <c r="B120" s="11">
        <v>2.4961057917497333E-2</v>
      </c>
      <c r="C120" s="11">
        <v>-3.8484123241723629E-2</v>
      </c>
      <c r="D120" s="11">
        <v>-5.9272032835480451E-2</v>
      </c>
      <c r="E120" s="11">
        <v>-5.3300408395859165E-2</v>
      </c>
      <c r="F120" s="11">
        <v>1.9750000000000002E-3</v>
      </c>
      <c r="G120" s="11">
        <v>2.2750000000000001E-3</v>
      </c>
      <c r="H120" s="11">
        <v>2.3749999999999999E-3</v>
      </c>
      <c r="I120" s="11">
        <v>3.5333333333333332E-3</v>
      </c>
      <c r="J120" s="11">
        <v>2.4333333333333334E-3</v>
      </c>
      <c r="K120" s="11">
        <v>2.8333333333333335E-3</v>
      </c>
      <c r="L120" s="11">
        <v>3.3583333333333334E-3</v>
      </c>
      <c r="M120" s="11">
        <v>3.7333333333333337E-3</v>
      </c>
      <c r="N120" s="11">
        <v>2.5249999999999999E-3</v>
      </c>
      <c r="O120" s="11">
        <v>2.6416666666666667E-3</v>
      </c>
      <c r="P120" s="11">
        <v>3.4916666666666672E-3</v>
      </c>
      <c r="Q120" s="11">
        <v>8.5583333333333327E-3</v>
      </c>
    </row>
    <row r="121" spans="1:17" x14ac:dyDescent="0.25">
      <c r="A121" s="10" t="s">
        <v>119</v>
      </c>
      <c r="B121" s="11">
        <v>8.4011286525779882E-2</v>
      </c>
      <c r="C121" s="11">
        <v>4.8528057813577274E-2</v>
      </c>
      <c r="D121" s="11">
        <v>2.1739459770637369E-2</v>
      </c>
      <c r="E121" s="11">
        <v>2.467946788659486E-2</v>
      </c>
      <c r="F121" s="11">
        <v>2.0833333333333333E-3</v>
      </c>
      <c r="G121" s="11">
        <v>2.3333333333333331E-3</v>
      </c>
      <c r="H121" s="11">
        <v>2.4750000000000002E-3</v>
      </c>
      <c r="I121" s="11">
        <v>3.5083333333333334E-3</v>
      </c>
      <c r="J121" s="11">
        <v>2.3916666666666665E-3</v>
      </c>
      <c r="K121" s="11">
        <v>2.7083333333333334E-3</v>
      </c>
      <c r="L121" s="11">
        <v>3.3499999999999992E-3</v>
      </c>
      <c r="M121" s="11">
        <v>3.7166666666666667E-3</v>
      </c>
      <c r="N121" s="11">
        <v>2.558333333333333E-3</v>
      </c>
      <c r="O121" s="11">
        <v>2.65E-3</v>
      </c>
      <c r="P121" s="11">
        <v>3.4750000000000002E-3</v>
      </c>
      <c r="Q121" s="11">
        <v>8.5083333333333348E-3</v>
      </c>
    </row>
    <row r="122" spans="1:17" x14ac:dyDescent="0.25">
      <c r="A122" s="10" t="s">
        <v>120</v>
      </c>
      <c r="B122" s="11">
        <v>8.3284721983931335E-3</v>
      </c>
      <c r="C122" s="11">
        <v>2.888382929153872E-2</v>
      </c>
      <c r="D122" s="11">
        <v>5.8344700788801745E-3</v>
      </c>
      <c r="E122" s="11">
        <v>2.0932463921361291E-2</v>
      </c>
      <c r="F122" s="11">
        <v>2.2166666666666667E-3</v>
      </c>
      <c r="G122" s="11">
        <v>2.4416666666666671E-3</v>
      </c>
      <c r="H122" s="11">
        <v>2.6000000000000003E-3</v>
      </c>
      <c r="I122" s="11">
        <v>3.7499999999999999E-3</v>
      </c>
      <c r="J122" s="11">
        <v>2.5749999999999996E-3</v>
      </c>
      <c r="K122" s="11">
        <v>3.0916666666666666E-3</v>
      </c>
      <c r="L122" s="11">
        <v>3.5833333333333329E-3</v>
      </c>
      <c r="M122" s="11">
        <v>3.908333333333334E-3</v>
      </c>
      <c r="N122" s="11">
        <v>2.7666666666666668E-3</v>
      </c>
      <c r="O122" s="11">
        <v>2.8666666666666667E-3</v>
      </c>
      <c r="P122" s="11">
        <v>3.7666666666666664E-3</v>
      </c>
      <c r="Q122" s="11">
        <v>8.7666666666666674E-3</v>
      </c>
    </row>
    <row r="123" spans="1:17" x14ac:dyDescent="0.25">
      <c r="A123" s="10" t="s">
        <v>121</v>
      </c>
      <c r="B123" s="11">
        <v>-6.4006456066660875E-2</v>
      </c>
      <c r="C123" s="11">
        <v>-7.6062064174150262E-2</v>
      </c>
      <c r="D123" s="11">
        <v>-5.3723972728947925E-2</v>
      </c>
      <c r="E123" s="11">
        <v>-3.2452338026007936E-2</v>
      </c>
      <c r="F123" s="11">
        <v>2.2916666666666667E-3</v>
      </c>
      <c r="G123" s="11">
        <v>2.6083333333333336E-3</v>
      </c>
      <c r="H123" s="11">
        <v>2.7583333333333331E-3</v>
      </c>
      <c r="I123" s="11">
        <v>3.8249999999999998E-3</v>
      </c>
      <c r="J123" s="11">
        <v>2.8249999999999998E-3</v>
      </c>
      <c r="K123" s="11">
        <v>3.283333333333333E-3</v>
      </c>
      <c r="L123" s="11">
        <v>3.6749999999999999E-3</v>
      </c>
      <c r="M123" s="11">
        <v>3.9666666666666661E-3</v>
      </c>
      <c r="N123" s="11">
        <v>2.9833333333333331E-3</v>
      </c>
      <c r="O123" s="11">
        <v>3.1000000000000003E-3</v>
      </c>
      <c r="P123" s="11">
        <v>3.933333333333333E-3</v>
      </c>
      <c r="Q123" s="11">
        <v>8.9499999999999996E-3</v>
      </c>
    </row>
    <row r="124" spans="1:17" x14ac:dyDescent="0.25">
      <c r="A124" s="10" t="s">
        <v>122</v>
      </c>
      <c r="B124" s="11">
        <v>8.7803585897409248E-2</v>
      </c>
      <c r="C124" s="11">
        <v>7.6141142395633146E-2</v>
      </c>
      <c r="D124" s="11">
        <v>4.9958718240306656E-2</v>
      </c>
      <c r="E124" s="11">
        <v>4.1549379534551761E-2</v>
      </c>
      <c r="F124" s="11">
        <v>2.4333333333333334E-3</v>
      </c>
      <c r="G124" s="11">
        <v>2.7916666666666667E-3</v>
      </c>
      <c r="H124" s="11">
        <v>2.9416666666666666E-3</v>
      </c>
      <c r="I124" s="11">
        <v>3.5583333333333331E-3</v>
      </c>
      <c r="J124" s="11">
        <v>2.8500000000000001E-3</v>
      </c>
      <c r="K124" s="11">
        <v>3.1166666666666669E-3</v>
      </c>
      <c r="L124" s="11">
        <v>3.4416666666666662E-3</v>
      </c>
      <c r="M124" s="11">
        <v>3.7583333333333336E-3</v>
      </c>
      <c r="N124" s="11">
        <v>3.0000000000000005E-3</v>
      </c>
      <c r="O124" s="11">
        <v>3.1166666666666669E-3</v>
      </c>
      <c r="P124" s="11">
        <v>3.7833333333333334E-3</v>
      </c>
      <c r="Q124" s="11">
        <v>8.8166666666666671E-3</v>
      </c>
    </row>
    <row r="125" spans="1:17" x14ac:dyDescent="0.25">
      <c r="A125" s="10" t="s">
        <v>123</v>
      </c>
      <c r="B125" s="11">
        <v>4.0713913969355933E-2</v>
      </c>
      <c r="C125" s="11">
        <v>3.6131742622257872E-2</v>
      </c>
      <c r="D125" s="11">
        <v>1.0326409495549015E-2</v>
      </c>
      <c r="E125" s="11">
        <v>-2.7444710897948234E-2</v>
      </c>
      <c r="F125" s="11">
        <v>2.5083333333333333E-3</v>
      </c>
      <c r="G125" s="11">
        <v>2.8333333333333335E-3</v>
      </c>
      <c r="H125" s="11">
        <v>2.9499999999999999E-3</v>
      </c>
      <c r="I125" s="11">
        <v>3.5750000000000001E-3</v>
      </c>
      <c r="J125" s="11">
        <v>2.8583333333333338E-3</v>
      </c>
      <c r="K125" s="11">
        <v>3.1166666666666669E-3</v>
      </c>
      <c r="L125" s="11">
        <v>3.4166666666666664E-3</v>
      </c>
      <c r="M125" s="11">
        <v>3.7333333333333337E-3</v>
      </c>
      <c r="N125" s="11">
        <v>3.0083333333333333E-3</v>
      </c>
      <c r="O125" s="11">
        <v>3.1083333333333332E-3</v>
      </c>
      <c r="P125" s="11">
        <v>3.7833333333333334E-3</v>
      </c>
      <c r="Q125" s="11">
        <v>8.8166666666666671E-3</v>
      </c>
    </row>
    <row r="126" spans="1:17" x14ac:dyDescent="0.25">
      <c r="A126" s="10" t="s">
        <v>124</v>
      </c>
      <c r="B126" s="11">
        <v>-2.2916628434053246E-2</v>
      </c>
      <c r="C126" s="11">
        <v>-2.0447667375730005E-2</v>
      </c>
      <c r="D126" s="11">
        <v>-2.9340930451127845E-2</v>
      </c>
      <c r="E126" s="11">
        <v>-5.1780821917808181E-2</v>
      </c>
      <c r="F126" s="11">
        <v>2.5166666666666666E-3</v>
      </c>
      <c r="G126" s="11">
        <v>2.8833333333333332E-3</v>
      </c>
      <c r="H126" s="11">
        <v>2.9833333333333331E-3</v>
      </c>
      <c r="I126" s="11">
        <v>3.4666666666666665E-3</v>
      </c>
      <c r="J126" s="11">
        <v>2.8583333333333338E-3</v>
      </c>
      <c r="K126" s="11">
        <v>3.0500000000000002E-3</v>
      </c>
      <c r="L126" s="11">
        <v>3.3083333333333333E-3</v>
      </c>
      <c r="M126" s="11">
        <v>3.6166666666666669E-3</v>
      </c>
      <c r="N126" s="11">
        <v>3.0166666666666671E-3</v>
      </c>
      <c r="O126" s="11">
        <v>3.0833333333333338E-3</v>
      </c>
      <c r="P126" s="11">
        <v>3.7000000000000002E-3</v>
      </c>
      <c r="Q126" s="11">
        <v>8.7333333333333343E-3</v>
      </c>
    </row>
    <row r="127" spans="1:17" x14ac:dyDescent="0.25">
      <c r="A127" s="10" t="s">
        <v>125</v>
      </c>
      <c r="B127" s="11">
        <v>-2.7919556367358645E-2</v>
      </c>
      <c r="C127" s="11">
        <v>3.3198617999158513E-2</v>
      </c>
      <c r="D127" s="11">
        <v>6.3163787103996403E-3</v>
      </c>
      <c r="E127" s="11">
        <v>-1.0298427374416991E-2</v>
      </c>
      <c r="F127" s="11">
        <v>2.6666666666666666E-3</v>
      </c>
      <c r="G127" s="11">
        <v>2.9416666666666666E-3</v>
      </c>
      <c r="H127" s="11">
        <v>3.075E-3</v>
      </c>
      <c r="I127" s="11">
        <v>3.4250000000000005E-3</v>
      </c>
      <c r="J127" s="11">
        <v>2.9083333333333335E-3</v>
      </c>
      <c r="K127" s="11">
        <v>3.0416666666666665E-3</v>
      </c>
      <c r="L127" s="11">
        <v>3.2666666666666664E-3</v>
      </c>
      <c r="M127" s="11">
        <v>3.5333333333333332E-3</v>
      </c>
      <c r="N127" s="11">
        <v>3.0166666666666671E-3</v>
      </c>
      <c r="O127" s="11">
        <v>3.0833333333333338E-3</v>
      </c>
      <c r="P127" s="11">
        <v>3.666666666666667E-3</v>
      </c>
      <c r="Q127" s="11">
        <v>8.6999999999999994E-3</v>
      </c>
    </row>
    <row r="128" spans="1:17" x14ac:dyDescent="0.25">
      <c r="A128" s="10" t="s">
        <v>126</v>
      </c>
      <c r="B128" s="11">
        <v>3.7049023538447772E-3</v>
      </c>
      <c r="C128" s="11">
        <v>7.0178469334452057E-2</v>
      </c>
      <c r="D128" s="11">
        <v>8.8783817305740864E-2</v>
      </c>
      <c r="E128" s="11">
        <v>0.11781878844750275</v>
      </c>
      <c r="F128" s="11">
        <v>2.7166666666666663E-3</v>
      </c>
      <c r="G128" s="11">
        <v>2.9916666666666668E-3</v>
      </c>
      <c r="H128" s="11">
        <v>3.1166666666666669E-3</v>
      </c>
      <c r="I128" s="11">
        <v>3.4583333333333337E-3</v>
      </c>
      <c r="J128" s="11">
        <v>2.9916666666666668E-3</v>
      </c>
      <c r="K128" s="11">
        <v>3.1416666666666663E-3</v>
      </c>
      <c r="L128" s="11">
        <v>3.316666666666667E-3</v>
      </c>
      <c r="M128" s="11">
        <v>3.5250000000000004E-3</v>
      </c>
      <c r="N128" s="11">
        <v>3.1083333333333332E-3</v>
      </c>
      <c r="O128" s="11">
        <v>3.15E-3</v>
      </c>
      <c r="P128" s="11">
        <v>3.7333333333333337E-3</v>
      </c>
      <c r="Q128" s="11">
        <v>8.7250000000000001E-3</v>
      </c>
    </row>
    <row r="129" spans="1:17" x14ac:dyDescent="0.25">
      <c r="A129" s="10" t="s">
        <v>127</v>
      </c>
      <c r="B129" s="11">
        <v>-0.12550652100678578</v>
      </c>
      <c r="C129" s="11">
        <v>-9.7361492783980527E-2</v>
      </c>
      <c r="D129" s="11">
        <v>-8.9538945885861865E-2</v>
      </c>
      <c r="E129" s="11">
        <v>-7.9488853651711516E-2</v>
      </c>
      <c r="F129" s="11">
        <v>2.7083333333333334E-3</v>
      </c>
      <c r="G129" s="11">
        <v>2.9916666666666668E-3</v>
      </c>
      <c r="H129" s="11">
        <v>3.1083333333333332E-3</v>
      </c>
      <c r="I129" s="11">
        <v>3.2666666666666664E-3</v>
      </c>
      <c r="J129" s="11">
        <v>2.9166666666666668E-3</v>
      </c>
      <c r="K129" s="11">
        <v>2.9749999999999998E-3</v>
      </c>
      <c r="L129" s="11">
        <v>3.1083333333333332E-3</v>
      </c>
      <c r="M129" s="11">
        <v>3.2999999999999995E-3</v>
      </c>
      <c r="N129" s="11">
        <v>2.9916666666666668E-3</v>
      </c>
      <c r="O129" s="11">
        <v>3.058333333333333E-3</v>
      </c>
      <c r="P129" s="11">
        <v>3.5750000000000001E-3</v>
      </c>
      <c r="Q129" s="11">
        <v>8.5583333333333327E-3</v>
      </c>
    </row>
    <row r="130" spans="1:17" x14ac:dyDescent="0.25">
      <c r="A130" s="10" t="s">
        <v>128</v>
      </c>
      <c r="B130" s="11">
        <v>-5.0118044587284173E-2</v>
      </c>
      <c r="C130" s="11">
        <v>-0.11321124277739696</v>
      </c>
      <c r="D130" s="11">
        <v>-0.1182122193322364</v>
      </c>
      <c r="E130" s="11">
        <v>-8.8724059662775565E-2</v>
      </c>
      <c r="F130" s="11">
        <v>2.7083333333333334E-3</v>
      </c>
      <c r="G130" s="11">
        <v>2.9833333333333331E-3</v>
      </c>
      <c r="H130" s="11">
        <v>3.0916666666666666E-3</v>
      </c>
      <c r="I130" s="11">
        <v>3.15E-3</v>
      </c>
      <c r="J130" s="11">
        <v>2.8416666666666664E-3</v>
      </c>
      <c r="K130" s="11">
        <v>2.8750000000000004E-3</v>
      </c>
      <c r="L130" s="11">
        <v>2.9666666666666665E-3</v>
      </c>
      <c r="M130" s="11">
        <v>3.1249999999999997E-3</v>
      </c>
      <c r="N130" s="11">
        <v>2.891666666666667E-3</v>
      </c>
      <c r="O130" s="11">
        <v>2.9916666666666668E-3</v>
      </c>
      <c r="P130" s="11">
        <v>3.5333333333333332E-3</v>
      </c>
      <c r="Q130" s="11">
        <v>8.483333333333334E-3</v>
      </c>
    </row>
    <row r="131" spans="1:17" x14ac:dyDescent="0.25">
      <c r="A131" s="10" t="s">
        <v>129</v>
      </c>
      <c r="B131" s="11">
        <v>8.2912331116312563E-2</v>
      </c>
      <c r="C131" s="11">
        <v>6.6636256692194917E-2</v>
      </c>
      <c r="D131" s="11">
        <v>6.7489938426610732E-2</v>
      </c>
      <c r="E131" s="11">
        <v>9.1246719743806368E-2</v>
      </c>
      <c r="F131" s="11">
        <v>2.7000000000000006E-3</v>
      </c>
      <c r="G131" s="11">
        <v>2.9833333333333331E-3</v>
      </c>
      <c r="H131" s="11">
        <v>3.0916666666666666E-3</v>
      </c>
      <c r="I131" s="11">
        <v>3.2333333333333333E-3</v>
      </c>
      <c r="J131" s="11">
        <v>2.8833333333333332E-3</v>
      </c>
      <c r="K131" s="11">
        <v>2.891666666666667E-3</v>
      </c>
      <c r="L131" s="11">
        <v>3.0000000000000005E-3</v>
      </c>
      <c r="M131" s="11">
        <v>3.2166666666666663E-3</v>
      </c>
      <c r="N131" s="11">
        <v>2.9333333333333334E-3</v>
      </c>
      <c r="O131" s="11">
        <v>3.0166666666666671E-3</v>
      </c>
      <c r="P131" s="11">
        <v>3.5750000000000001E-3</v>
      </c>
      <c r="Q131" s="11">
        <v>8.5166666666666672E-3</v>
      </c>
    </row>
    <row r="132" spans="1:17" x14ac:dyDescent="0.25">
      <c r="A132" s="10" t="s">
        <v>130</v>
      </c>
      <c r="B132" s="11">
        <v>-3.3844260760238602E-2</v>
      </c>
      <c r="C132" s="11">
        <v>-2.8099017299667163E-2</v>
      </c>
      <c r="D132" s="11">
        <v>-2.6753778236071311E-2</v>
      </c>
      <c r="E132" s="11">
        <v>4.3204467178870661E-3</v>
      </c>
      <c r="F132" s="11">
        <v>2.7166666666666663E-3</v>
      </c>
      <c r="G132" s="11">
        <v>2.9666666666666665E-3</v>
      </c>
      <c r="H132" s="11">
        <v>3.0916666666666666E-3</v>
      </c>
      <c r="I132" s="11">
        <v>3.1833333333333332E-3</v>
      </c>
      <c r="J132" s="11">
        <v>2.8500000000000001E-3</v>
      </c>
      <c r="K132" s="11">
        <v>2.8249999999999998E-3</v>
      </c>
      <c r="L132" s="11">
        <v>2.9416666666666666E-3</v>
      </c>
      <c r="M132" s="11">
        <v>3.1666666666666666E-3</v>
      </c>
      <c r="N132" s="11">
        <v>2.9083333333333335E-3</v>
      </c>
      <c r="O132" s="11">
        <v>2.9916666666666668E-3</v>
      </c>
      <c r="P132" s="11">
        <v>3.5333333333333332E-3</v>
      </c>
      <c r="Q132" s="11">
        <v>8.4083333333333336E-3</v>
      </c>
    </row>
    <row r="133" spans="1:17" x14ac:dyDescent="0.25">
      <c r="A133" s="10" t="s">
        <v>131</v>
      </c>
      <c r="B133" s="11">
        <v>-1.264196601121893E-2</v>
      </c>
      <c r="C133" s="11">
        <v>-1.5817434842821519E-2</v>
      </c>
      <c r="D133" s="11">
        <v>5.4018259926662301E-2</v>
      </c>
      <c r="E133" s="11">
        <v>1.49550536718005E-2</v>
      </c>
      <c r="F133" s="11">
        <v>2.7166666666666663E-3</v>
      </c>
      <c r="G133" s="11">
        <v>2.9583333333333332E-3</v>
      </c>
      <c r="H133" s="11">
        <v>3.0833333333333338E-3</v>
      </c>
      <c r="I133" s="11">
        <v>3.1666666666666666E-3</v>
      </c>
      <c r="J133" s="11">
        <v>2.8333333333333335E-3</v>
      </c>
      <c r="K133" s="11">
        <v>2.8E-3</v>
      </c>
      <c r="L133" s="11">
        <v>2.9250000000000001E-3</v>
      </c>
      <c r="M133" s="11">
        <v>3.1750000000000003E-3</v>
      </c>
      <c r="N133" s="11">
        <v>2.8999999999999998E-3</v>
      </c>
      <c r="O133" s="11">
        <v>2.9749999999999998E-3</v>
      </c>
      <c r="P133" s="11">
        <v>3.5333333333333332E-3</v>
      </c>
      <c r="Q133" s="11">
        <v>8.3666666666666663E-3</v>
      </c>
    </row>
    <row r="134" spans="1:17" x14ac:dyDescent="0.25">
      <c r="A134" s="10" t="s">
        <v>132</v>
      </c>
      <c r="B134" s="11">
        <v>7.8780299036487852E-2</v>
      </c>
      <c r="C134" s="11">
        <v>5.1076306203702709E-2</v>
      </c>
      <c r="D134" s="11">
        <v>3.9140234181738343E-2</v>
      </c>
      <c r="E134" s="11">
        <v>2.7610060378263829E-2</v>
      </c>
      <c r="F134" s="11">
        <v>2.7166666666666663E-3</v>
      </c>
      <c r="G134" s="11">
        <v>2.9583333333333332E-3</v>
      </c>
      <c r="H134" s="11">
        <v>3.075E-3</v>
      </c>
      <c r="I134" s="11">
        <v>3.15E-3</v>
      </c>
      <c r="J134" s="11">
        <v>2.8249999999999998E-3</v>
      </c>
      <c r="K134" s="11">
        <v>2.8083333333333333E-3</v>
      </c>
      <c r="L134" s="11">
        <v>2.9166666666666668E-3</v>
      </c>
      <c r="M134" s="11">
        <v>3.1666666666666666E-3</v>
      </c>
      <c r="N134" s="11">
        <v>2.8833333333333332E-3</v>
      </c>
      <c r="O134" s="11">
        <v>2.9749999999999998E-3</v>
      </c>
      <c r="P134" s="11">
        <v>3.5333333333333332E-3</v>
      </c>
      <c r="Q134" s="11">
        <v>8.3666666666666663E-3</v>
      </c>
    </row>
    <row r="135" spans="1:17" x14ac:dyDescent="0.25">
      <c r="A135" s="10" t="s">
        <v>133</v>
      </c>
      <c r="B135" s="11">
        <v>4.0108550425519793E-2</v>
      </c>
      <c r="C135" s="11">
        <v>1.311011511648221E-2</v>
      </c>
      <c r="D135" s="11">
        <v>0.10384595037824673</v>
      </c>
      <c r="E135" s="11">
        <v>5.5078892585458755E-2</v>
      </c>
      <c r="F135" s="11">
        <v>2.7083333333333334E-3</v>
      </c>
      <c r="G135" s="11">
        <v>2.9416666666666666E-3</v>
      </c>
      <c r="H135" s="11">
        <v>3.0500000000000002E-3</v>
      </c>
      <c r="I135" s="11">
        <v>3.1583333333333337E-3</v>
      </c>
      <c r="J135" s="11">
        <v>2.8416666666666664E-3</v>
      </c>
      <c r="K135" s="11">
        <v>2.8583333333333338E-3</v>
      </c>
      <c r="L135" s="11">
        <v>2.9583333333333332E-3</v>
      </c>
      <c r="M135" s="11">
        <v>3.1750000000000003E-3</v>
      </c>
      <c r="N135" s="11">
        <v>2.8833333333333332E-3</v>
      </c>
      <c r="O135" s="11">
        <v>2.9499999999999999E-3</v>
      </c>
      <c r="P135" s="11">
        <v>3.5416666666666669E-3</v>
      </c>
      <c r="Q135" s="11">
        <v>8.3499999999999998E-3</v>
      </c>
    </row>
    <row r="136" spans="1:17" x14ac:dyDescent="0.25">
      <c r="A136" s="10" t="s">
        <v>134</v>
      </c>
      <c r="B136" s="11">
        <v>-4.5484535258016363E-4</v>
      </c>
      <c r="C136" s="11">
        <v>-5.1806052141938619E-2</v>
      </c>
      <c r="D136" s="11">
        <v>-4.6678807629636623E-2</v>
      </c>
      <c r="E136" s="11">
        <v>-4.1932509680988404E-2</v>
      </c>
      <c r="F136" s="11">
        <v>2.7083333333333334E-3</v>
      </c>
      <c r="G136" s="11">
        <v>2.9499999999999999E-3</v>
      </c>
      <c r="H136" s="11">
        <v>3.0500000000000002E-3</v>
      </c>
      <c r="I136" s="11">
        <v>3.241666666666667E-3</v>
      </c>
      <c r="J136" s="11">
        <v>2.891666666666667E-3</v>
      </c>
      <c r="K136" s="11">
        <v>2.9583333333333332E-3</v>
      </c>
      <c r="L136" s="11">
        <v>3.075E-3</v>
      </c>
      <c r="M136" s="11">
        <v>3.2916666666666667E-3</v>
      </c>
      <c r="N136" s="11">
        <v>2.9499999999999999E-3</v>
      </c>
      <c r="O136" s="11">
        <v>2.9916666666666668E-3</v>
      </c>
      <c r="P136" s="11">
        <v>3.6333333333333335E-3</v>
      </c>
      <c r="Q136" s="11">
        <v>8.4083333333333336E-3</v>
      </c>
    </row>
    <row r="137" spans="1:17" x14ac:dyDescent="0.25">
      <c r="A137" s="10" t="s">
        <v>135</v>
      </c>
      <c r="B137" s="11">
        <v>-8.2959540347139517E-3</v>
      </c>
      <c r="C137" s="11">
        <v>-6.0542077419655498E-2</v>
      </c>
      <c r="D137" s="11">
        <v>-5.8278992272557589E-2</v>
      </c>
      <c r="E137" s="11">
        <v>-7.8277773500654332E-2</v>
      </c>
      <c r="F137" s="11">
        <v>2.7083333333333334E-3</v>
      </c>
      <c r="G137" s="11">
        <v>2.9499999999999999E-3</v>
      </c>
      <c r="H137" s="11">
        <v>3.0249999999999999E-3</v>
      </c>
      <c r="I137" s="11">
        <v>3.2083333333333334E-3</v>
      </c>
      <c r="J137" s="11">
        <v>2.8750000000000004E-3</v>
      </c>
      <c r="K137" s="11">
        <v>2.9166666666666668E-3</v>
      </c>
      <c r="L137" s="11">
        <v>3.0333333333333336E-3</v>
      </c>
      <c r="M137" s="11">
        <v>3.2499999999999999E-3</v>
      </c>
      <c r="N137" s="11">
        <v>2.891666666666667E-3</v>
      </c>
      <c r="O137" s="11">
        <v>2.9416666666666666E-3</v>
      </c>
      <c r="P137" s="11">
        <v>3.5416666666666669E-3</v>
      </c>
      <c r="Q137" s="11">
        <v>8.3000000000000001E-3</v>
      </c>
    </row>
    <row r="138" spans="1:17" x14ac:dyDescent="0.25">
      <c r="A138" s="10" t="s">
        <v>136</v>
      </c>
      <c r="B138" s="11">
        <v>-7.3215744410492264E-2</v>
      </c>
      <c r="C138" s="11">
        <v>-4.6676854075294177E-2</v>
      </c>
      <c r="D138" s="11">
        <v>-6.2724492675151955E-2</v>
      </c>
      <c r="E138" s="11">
        <v>-1.4512727348660421E-2</v>
      </c>
      <c r="F138" s="11">
        <v>2.7166666666666663E-3</v>
      </c>
      <c r="G138" s="11">
        <v>2.9499999999999999E-3</v>
      </c>
      <c r="H138" s="11">
        <v>3.0000000000000005E-3</v>
      </c>
      <c r="I138" s="11">
        <v>3.0916666666666666E-3</v>
      </c>
      <c r="J138" s="11">
        <v>2.8083333333333333E-3</v>
      </c>
      <c r="K138" s="11">
        <v>2.8166666666666665E-3</v>
      </c>
      <c r="L138" s="11">
        <v>2.9083333333333335E-3</v>
      </c>
      <c r="M138" s="11">
        <v>3.1249999999999997E-3</v>
      </c>
      <c r="N138" s="11">
        <v>2.8249999999999998E-3</v>
      </c>
      <c r="O138" s="11">
        <v>2.8833333333333332E-3</v>
      </c>
      <c r="P138" s="11">
        <v>3.3416666666666664E-3</v>
      </c>
      <c r="Q138" s="11">
        <v>8.0250000000000009E-3</v>
      </c>
    </row>
    <row r="139" spans="1:17" x14ac:dyDescent="0.25">
      <c r="A139" s="10" t="s">
        <v>137</v>
      </c>
      <c r="B139" s="11">
        <v>2.7856668734153205E-3</v>
      </c>
      <c r="C139" s="11">
        <v>2.3809771634365175E-2</v>
      </c>
      <c r="D139" s="11">
        <v>1.9055523009828868E-2</v>
      </c>
      <c r="E139" s="11">
        <v>3.64876891130229E-2</v>
      </c>
      <c r="F139" s="11">
        <v>2.7166666666666663E-3</v>
      </c>
      <c r="G139" s="11">
        <v>2.9499999999999999E-3</v>
      </c>
      <c r="H139" s="11">
        <v>2.9749999999999998E-3</v>
      </c>
      <c r="I139" s="11">
        <v>3.0249999999999999E-3</v>
      </c>
      <c r="J139" s="11">
        <v>2.7416666666666666E-3</v>
      </c>
      <c r="K139" s="11">
        <v>2.7416666666666666E-3</v>
      </c>
      <c r="L139" s="11">
        <v>2.8416666666666664E-3</v>
      </c>
      <c r="M139" s="11">
        <v>3.0249999999999999E-3</v>
      </c>
      <c r="N139" s="11">
        <v>2.7333333333333328E-3</v>
      </c>
      <c r="O139" s="11">
        <v>2.8333333333333335E-3</v>
      </c>
      <c r="P139" s="11">
        <v>3.225E-3</v>
      </c>
      <c r="Q139" s="11">
        <v>7.9000000000000008E-3</v>
      </c>
    </row>
    <row r="140" spans="1:17" x14ac:dyDescent="0.25">
      <c r="A140" s="10" t="s">
        <v>138</v>
      </c>
      <c r="B140" s="11">
        <v>2.1838207368021268E-2</v>
      </c>
      <c r="C140" s="11">
        <v>-2.5040285070886469E-2</v>
      </c>
      <c r="D140" s="11">
        <v>-2.3002730626127735E-2</v>
      </c>
      <c r="E140" s="11">
        <v>-4.4055114890833288E-2</v>
      </c>
      <c r="F140" s="11">
        <v>2.5749999999999996E-3</v>
      </c>
      <c r="G140" s="11">
        <v>2.7833333333333334E-3</v>
      </c>
      <c r="H140" s="11">
        <v>2.8249999999999998E-3</v>
      </c>
      <c r="I140" s="11">
        <v>2.7750000000000001E-3</v>
      </c>
      <c r="J140" s="11">
        <v>2.5166666666666666E-3</v>
      </c>
      <c r="K140" s="11">
        <v>2.5083333333333333E-3</v>
      </c>
      <c r="L140" s="11">
        <v>2.6000000000000003E-3</v>
      </c>
      <c r="M140" s="11">
        <v>2.7500000000000003E-3</v>
      </c>
      <c r="N140" s="11">
        <v>2.5083333333333333E-3</v>
      </c>
      <c r="O140" s="11">
        <v>2.6000000000000003E-3</v>
      </c>
      <c r="P140" s="11">
        <v>3.0000000000000005E-3</v>
      </c>
      <c r="Q140" s="11">
        <v>7.6499999999999997E-3</v>
      </c>
    </row>
    <row r="141" spans="1:17" x14ac:dyDescent="0.25">
      <c r="A141" s="10" t="s">
        <v>139</v>
      </c>
      <c r="B141" s="11">
        <v>4.3380147078344831E-3</v>
      </c>
      <c r="C141" s="11">
        <v>5.9156295458218863E-2</v>
      </c>
      <c r="D141" s="11">
        <v>5.5309933395987276E-2</v>
      </c>
      <c r="E141" s="11">
        <v>8.7123885289022915E-2</v>
      </c>
      <c r="F141" s="11">
        <v>2.5000000000000001E-3</v>
      </c>
      <c r="G141" s="11">
        <v>2.6583333333333333E-3</v>
      </c>
      <c r="H141" s="11">
        <v>2.6749999999999999E-3</v>
      </c>
      <c r="I141" s="11">
        <v>2.558333333333333E-3</v>
      </c>
      <c r="J141" s="11">
        <v>2.3666666666666667E-3</v>
      </c>
      <c r="K141" s="11">
        <v>2.3583333333333334E-3</v>
      </c>
      <c r="L141" s="11">
        <v>2.4499999999999999E-3</v>
      </c>
      <c r="M141" s="11">
        <v>2.5749999999999996E-3</v>
      </c>
      <c r="N141" s="11">
        <v>2.3666666666666667E-3</v>
      </c>
      <c r="O141" s="11">
        <v>2.4333333333333334E-3</v>
      </c>
      <c r="P141" s="11">
        <v>2.8333333333333335E-3</v>
      </c>
      <c r="Q141" s="11">
        <v>7.324999999999999E-3</v>
      </c>
    </row>
    <row r="142" spans="1:17" x14ac:dyDescent="0.25">
      <c r="A142" s="10" t="s">
        <v>140</v>
      </c>
      <c r="B142" s="11">
        <v>4.6407122314329204E-2</v>
      </c>
      <c r="C142" s="11">
        <v>5.7087864213878903E-2</v>
      </c>
      <c r="D142" s="11">
        <v>5.3572673135449549E-2</v>
      </c>
      <c r="E142" s="11">
        <v>3.035310317694492E-2</v>
      </c>
      <c r="F142" s="11">
        <v>2.4916666666666668E-3</v>
      </c>
      <c r="G142" s="11">
        <v>2.6166666666666669E-3</v>
      </c>
      <c r="H142" s="11">
        <v>2.6666666666666666E-3</v>
      </c>
      <c r="I142" s="11">
        <v>2.5333333333333332E-3</v>
      </c>
      <c r="J142" s="11">
        <v>2.3749999999999999E-3</v>
      </c>
      <c r="K142" s="11">
        <v>2.3416666666666668E-3</v>
      </c>
      <c r="L142" s="11">
        <v>2.4083333333333335E-3</v>
      </c>
      <c r="M142" s="11">
        <v>2.5416666666666665E-3</v>
      </c>
      <c r="N142" s="11">
        <v>2.3666666666666667E-3</v>
      </c>
      <c r="O142" s="11">
        <v>2.4333333333333334E-3</v>
      </c>
      <c r="P142" s="11">
        <v>2.7583333333333331E-3</v>
      </c>
      <c r="Q142" s="11">
        <v>7.2416666666666662E-3</v>
      </c>
    </row>
    <row r="143" spans="1:17" x14ac:dyDescent="0.25">
      <c r="A143" s="10" t="s">
        <v>141</v>
      </c>
      <c r="B143" s="11">
        <v>-4.4732986409336616E-2</v>
      </c>
      <c r="C143" s="11">
        <v>-3.3701220080096808E-2</v>
      </c>
      <c r="D143" s="11">
        <v>-1.2054303165724685E-2</v>
      </c>
      <c r="E143" s="11">
        <v>-2.9535301080606306E-2</v>
      </c>
      <c r="F143" s="11">
        <v>2.3416666666666668E-3</v>
      </c>
      <c r="G143" s="11">
        <v>2.4416666666666671E-3</v>
      </c>
      <c r="H143" s="11">
        <v>2.5333333333333332E-3</v>
      </c>
      <c r="I143" s="11">
        <v>2.5083333333333333E-3</v>
      </c>
      <c r="J143" s="11">
        <v>2.3416666666666668E-3</v>
      </c>
      <c r="K143" s="11">
        <v>2.3166666666666665E-3</v>
      </c>
      <c r="L143" s="11">
        <v>2.3749999999999999E-3</v>
      </c>
      <c r="M143" s="11">
        <v>2.4750000000000002E-3</v>
      </c>
      <c r="N143" s="11">
        <v>2.3333333333333331E-3</v>
      </c>
      <c r="O143" s="11">
        <v>2.4083333333333335E-3</v>
      </c>
      <c r="P143" s="11">
        <v>2.7500000000000003E-3</v>
      </c>
      <c r="Q143" s="11">
        <v>7.2333333333333338E-3</v>
      </c>
    </row>
    <row r="144" spans="1:17" x14ac:dyDescent="0.25">
      <c r="A144" s="10" t="s">
        <v>142</v>
      </c>
      <c r="B144" s="11">
        <v>1.5787302460386253E-2</v>
      </c>
      <c r="C144" s="11">
        <v>-1.2635961889707741E-2</v>
      </c>
      <c r="D144" s="11">
        <v>-1.7320011011003545E-2</v>
      </c>
      <c r="E144" s="11">
        <v>-1.7587692549821954E-2</v>
      </c>
      <c r="F144" s="11">
        <v>2.2916666666666667E-3</v>
      </c>
      <c r="G144" s="11">
        <v>2.3749999999999999E-3</v>
      </c>
      <c r="H144" s="11">
        <v>2.4833333333333335E-3</v>
      </c>
      <c r="I144" s="11">
        <v>2.5083333333333333E-3</v>
      </c>
      <c r="J144" s="11">
        <v>2.3250000000000002E-3</v>
      </c>
      <c r="K144" s="11">
        <v>2.3333333333333331E-3</v>
      </c>
      <c r="L144" s="11">
        <v>2.3916666666666665E-3</v>
      </c>
      <c r="M144" s="11">
        <v>2.4916666666666668E-3</v>
      </c>
      <c r="N144" s="11">
        <v>2.3333333333333331E-3</v>
      </c>
      <c r="O144" s="11">
        <v>2.4083333333333335E-3</v>
      </c>
      <c r="P144" s="11">
        <v>2.7666666666666668E-3</v>
      </c>
      <c r="Q144" s="11">
        <v>7.2583333333333345E-3</v>
      </c>
    </row>
    <row r="145" spans="1:17" x14ac:dyDescent="0.25">
      <c r="A145" s="10" t="s">
        <v>143</v>
      </c>
      <c r="B145" s="11">
        <v>3.6686261135785006E-2</v>
      </c>
      <c r="C145" s="11">
        <v>2.3511208945680699E-2</v>
      </c>
      <c r="D145" s="11">
        <v>-1.514956504622093E-2</v>
      </c>
      <c r="E145" s="11">
        <v>-6.1076956965777102E-3</v>
      </c>
      <c r="F145" s="11">
        <v>2.2916666666666667E-3</v>
      </c>
      <c r="G145" s="11">
        <v>2.3999999999999998E-3</v>
      </c>
      <c r="H145" s="11">
        <v>2.4916666666666668E-3</v>
      </c>
      <c r="I145" s="11">
        <v>2.5749999999999996E-3</v>
      </c>
      <c r="J145" s="11">
        <v>2.3333333333333331E-3</v>
      </c>
      <c r="K145" s="11">
        <v>2.3749999999999999E-3</v>
      </c>
      <c r="L145" s="11">
        <v>2.4833333333333335E-3</v>
      </c>
      <c r="M145" s="11">
        <v>2.6083333333333336E-3</v>
      </c>
      <c r="N145" s="11">
        <v>2.3416666666666668E-3</v>
      </c>
      <c r="O145" s="11">
        <v>2.4083333333333335E-3</v>
      </c>
      <c r="P145" s="11">
        <v>2.7500000000000003E-3</v>
      </c>
      <c r="Q145" s="11">
        <v>7.324999999999999E-3</v>
      </c>
    </row>
    <row r="146" spans="1:17" x14ac:dyDescent="0.25">
      <c r="A146" s="10" t="s">
        <v>144</v>
      </c>
      <c r="B146" s="11">
        <v>-2.2384948796375786E-2</v>
      </c>
      <c r="C146" s="11">
        <v>2.7801886522522521E-3</v>
      </c>
      <c r="D146" s="11">
        <v>4.3695515136606251E-2</v>
      </c>
      <c r="E146" s="11">
        <v>1.4808994197292116E-2</v>
      </c>
      <c r="F146" s="11">
        <v>2.3E-3</v>
      </c>
      <c r="G146" s="11">
        <v>2.3833333333333332E-3</v>
      </c>
      <c r="H146" s="11">
        <v>2.4583333333333336E-3</v>
      </c>
      <c r="I146" s="11">
        <v>2.5000000000000001E-3</v>
      </c>
      <c r="J146" s="11">
        <v>2.2666666666666668E-3</v>
      </c>
      <c r="K146" s="11">
        <v>2.2916666666666667E-3</v>
      </c>
      <c r="L146" s="11">
        <v>2.3833333333333332E-3</v>
      </c>
      <c r="M146" s="11">
        <v>2.5416666666666665E-3</v>
      </c>
      <c r="N146" s="11">
        <v>2.2666666666666668E-3</v>
      </c>
      <c r="O146" s="11">
        <v>2.3166666666666665E-3</v>
      </c>
      <c r="P146" s="11">
        <v>2.6666666666666666E-3</v>
      </c>
      <c r="Q146" s="11">
        <v>7.2666666666666669E-3</v>
      </c>
    </row>
    <row r="147" spans="1:17" x14ac:dyDescent="0.25">
      <c r="A147" s="10" t="s">
        <v>145</v>
      </c>
      <c r="B147" s="11">
        <v>3.5242743385563789E-2</v>
      </c>
      <c r="C147" s="11">
        <v>1.6958260613179437E-2</v>
      </c>
      <c r="D147" s="11">
        <v>1.8193067483758686E-2</v>
      </c>
      <c r="E147" s="11">
        <v>6.3930748307423485E-2</v>
      </c>
      <c r="F147" s="11">
        <v>2.2916666666666667E-3</v>
      </c>
      <c r="G147" s="11">
        <v>2.3583333333333334E-3</v>
      </c>
      <c r="H147" s="11">
        <v>2.4250000000000001E-3</v>
      </c>
      <c r="I147" s="11">
        <v>2.4499999999999999E-3</v>
      </c>
      <c r="J147" s="11">
        <v>2.2333333333333333E-3</v>
      </c>
      <c r="K147" s="11">
        <v>2.2500000000000003E-3</v>
      </c>
      <c r="L147" s="11">
        <v>2.3583333333333334E-3</v>
      </c>
      <c r="M147" s="11">
        <v>2.5333333333333332E-3</v>
      </c>
      <c r="N147" s="11">
        <v>2.2416666666666665E-3</v>
      </c>
      <c r="O147" s="11">
        <v>2.2833333333333334E-3</v>
      </c>
      <c r="P147" s="11">
        <v>2.5500000000000002E-3</v>
      </c>
      <c r="Q147" s="11">
        <v>7.2166666666666664E-3</v>
      </c>
    </row>
    <row r="148" spans="1:17" x14ac:dyDescent="0.25">
      <c r="A148" s="10" t="s">
        <v>146</v>
      </c>
      <c r="B148" s="11">
        <v>-1.9438241278348395E-2</v>
      </c>
      <c r="C148" s="11">
        <v>3.7428628879526214E-2</v>
      </c>
      <c r="D148" s="11">
        <v>3.9360224543534307E-2</v>
      </c>
      <c r="E148" s="11">
        <v>3.5736279321477181E-2</v>
      </c>
      <c r="F148" s="11">
        <v>2.2833333333333334E-3</v>
      </c>
      <c r="G148" s="11">
        <v>2.3416666666666668E-3</v>
      </c>
      <c r="H148" s="11">
        <v>2.3999999999999998E-3</v>
      </c>
      <c r="I148" s="11">
        <v>2.3583333333333334E-3</v>
      </c>
      <c r="J148" s="11">
        <v>2.166666666666667E-3</v>
      </c>
      <c r="K148" s="11">
        <v>2.166666666666667E-3</v>
      </c>
      <c r="L148" s="11">
        <v>2.2416666666666665E-3</v>
      </c>
      <c r="M148" s="11">
        <v>2.4250000000000001E-3</v>
      </c>
      <c r="N148" s="11">
        <v>2.1749999999999999E-3</v>
      </c>
      <c r="O148" s="11">
        <v>2.2083333333333334E-3</v>
      </c>
      <c r="P148" s="11">
        <v>2.4583333333333336E-3</v>
      </c>
      <c r="Q148" s="11">
        <v>7.1250000000000003E-3</v>
      </c>
    </row>
    <row r="149" spans="1:17" x14ac:dyDescent="0.25">
      <c r="A149" s="10" t="s">
        <v>147</v>
      </c>
      <c r="B149" s="11">
        <v>-3.0142768215473306E-2</v>
      </c>
      <c r="C149" s="11">
        <v>2.7121806978557504E-2</v>
      </c>
      <c r="D149" s="11">
        <v>5.087801109432958E-2</v>
      </c>
      <c r="E149" s="11">
        <v>1.5945371337969843E-2</v>
      </c>
      <c r="F149" s="11">
        <v>2.2916666666666667E-3</v>
      </c>
      <c r="G149" s="11">
        <v>2.3333333333333331E-3</v>
      </c>
      <c r="H149" s="11">
        <v>2.3916666666666665E-3</v>
      </c>
      <c r="I149" s="11">
        <v>2.3E-3</v>
      </c>
      <c r="J149" s="11">
        <v>2.15E-3</v>
      </c>
      <c r="K149" s="11">
        <v>2.1249999999999997E-3</v>
      </c>
      <c r="L149" s="11">
        <v>2.1916666666666668E-3</v>
      </c>
      <c r="M149" s="11">
        <v>2.3666666666666667E-3</v>
      </c>
      <c r="N149" s="11">
        <v>2.15E-3</v>
      </c>
      <c r="O149" s="11">
        <v>2.2000000000000001E-3</v>
      </c>
      <c r="P149" s="11">
        <v>2.4250000000000001E-3</v>
      </c>
      <c r="Q149" s="11">
        <v>7.108333333333332E-3</v>
      </c>
    </row>
    <row r="150" spans="1:17" x14ac:dyDescent="0.25">
      <c r="A150" s="10" t="s">
        <v>148</v>
      </c>
      <c r="B150" s="11">
        <v>2.1337215673382544E-2</v>
      </c>
      <c r="C150" s="11">
        <v>-7.7676549581335772E-4</v>
      </c>
      <c r="D150" s="11">
        <v>3.3453211203613706E-2</v>
      </c>
      <c r="E150" s="11">
        <v>2.4828417897742386E-2</v>
      </c>
      <c r="F150" s="11">
        <v>2.1333333333333334E-3</v>
      </c>
      <c r="G150" s="11">
        <v>2.2666666666666668E-3</v>
      </c>
      <c r="H150" s="11">
        <v>2.3250000000000002E-3</v>
      </c>
      <c r="I150" s="11">
        <v>2.3333333333333331E-3</v>
      </c>
      <c r="J150" s="11">
        <v>2.1583333333333333E-3</v>
      </c>
      <c r="K150" s="11">
        <v>2.1583333333333333E-3</v>
      </c>
      <c r="L150" s="11">
        <v>2.2333333333333333E-3</v>
      </c>
      <c r="M150" s="11">
        <v>2.4166666666666664E-3</v>
      </c>
      <c r="N150" s="11">
        <v>2.15E-3</v>
      </c>
      <c r="O150" s="11">
        <v>2.2083333333333334E-3</v>
      </c>
      <c r="P150" s="11">
        <v>2.4666666666666669E-3</v>
      </c>
      <c r="Q150" s="11">
        <v>7.1583333333333334E-3</v>
      </c>
    </row>
    <row r="151" spans="1:17" x14ac:dyDescent="0.25">
      <c r="A151" s="10" t="s">
        <v>149</v>
      </c>
      <c r="B151" s="11">
        <v>-6.742078211377131E-2</v>
      </c>
      <c r="C151" s="11">
        <v>-7.5844016671717404E-2</v>
      </c>
      <c r="D151" s="11">
        <v>-7.4404952639741687E-2</v>
      </c>
      <c r="E151" s="11">
        <v>-0.10177029435686237</v>
      </c>
      <c r="F151" s="11">
        <v>2.075E-3</v>
      </c>
      <c r="G151" s="11">
        <v>2.2416666666666665E-3</v>
      </c>
      <c r="H151" s="11">
        <v>2.2916666666666667E-3</v>
      </c>
      <c r="I151" s="11">
        <v>2.6583333333333333E-3</v>
      </c>
      <c r="J151" s="11">
        <v>2.2166666666666667E-3</v>
      </c>
      <c r="K151" s="11">
        <v>2.3916666666666665E-3</v>
      </c>
      <c r="L151" s="11">
        <v>2.5666666666666667E-3</v>
      </c>
      <c r="M151" s="11">
        <v>2.7583333333333331E-3</v>
      </c>
      <c r="N151" s="11">
        <v>2.2083333333333334E-3</v>
      </c>
      <c r="O151" s="11">
        <v>2.2750000000000001E-3</v>
      </c>
      <c r="P151" s="11">
        <v>2.7000000000000006E-3</v>
      </c>
      <c r="Q151" s="11">
        <v>7.3916666666666653E-3</v>
      </c>
    </row>
    <row r="152" spans="1:17" x14ac:dyDescent="0.25">
      <c r="A152" s="10" t="s">
        <v>150</v>
      </c>
      <c r="B152" s="11">
        <v>2.4215197501780555E-2</v>
      </c>
      <c r="C152" s="11">
        <v>4.3564836376424554E-2</v>
      </c>
      <c r="D152" s="11">
        <v>3.6163347827291123E-2</v>
      </c>
      <c r="E152" s="11">
        <v>6.7911224135938045E-2</v>
      </c>
      <c r="F152" s="11">
        <v>2.0666666666666667E-3</v>
      </c>
      <c r="G152" s="11">
        <v>2.2333333333333333E-3</v>
      </c>
      <c r="H152" s="11">
        <v>2.2833333333333334E-3</v>
      </c>
      <c r="I152" s="11">
        <v>2.7833333333333334E-3</v>
      </c>
      <c r="J152" s="11">
        <v>2.2166666666666667E-3</v>
      </c>
      <c r="K152" s="11">
        <v>2.4250000000000001E-3</v>
      </c>
      <c r="L152" s="11">
        <v>2.65E-3</v>
      </c>
      <c r="M152" s="11">
        <v>2.891666666666667E-3</v>
      </c>
      <c r="N152" s="11">
        <v>2.2166666666666667E-3</v>
      </c>
      <c r="O152" s="11">
        <v>2.2750000000000001E-3</v>
      </c>
      <c r="P152" s="11">
        <v>2.8166666666666665E-3</v>
      </c>
      <c r="Q152" s="11">
        <v>7.5166666666666672E-3</v>
      </c>
    </row>
    <row r="153" spans="1:17" x14ac:dyDescent="0.25">
      <c r="A153" s="10" t="s">
        <v>151</v>
      </c>
      <c r="B153" s="11">
        <v>1.7266648836587309E-2</v>
      </c>
      <c r="C153" s="11">
        <v>-4.8180919809279944E-2</v>
      </c>
      <c r="D153" s="11">
        <v>-3.4707419262149972E-2</v>
      </c>
      <c r="E153" s="11">
        <v>-6.7777958182244483E-2</v>
      </c>
      <c r="F153" s="11">
        <v>2.0833333333333333E-3</v>
      </c>
      <c r="G153" s="11">
        <v>2.2166666666666667E-3</v>
      </c>
      <c r="H153" s="11">
        <v>2.2666666666666668E-3</v>
      </c>
      <c r="I153" s="11">
        <v>2.8583333333333338E-3</v>
      </c>
      <c r="J153" s="11">
        <v>2.2166666666666667E-3</v>
      </c>
      <c r="K153" s="11">
        <v>2.4499999999999999E-3</v>
      </c>
      <c r="L153" s="11">
        <v>2.7166666666666663E-3</v>
      </c>
      <c r="M153" s="11">
        <v>3.0083333333333333E-3</v>
      </c>
      <c r="N153" s="11">
        <v>2.2166666666666667E-3</v>
      </c>
      <c r="O153" s="11">
        <v>2.2583333333333331E-3</v>
      </c>
      <c r="P153" s="11">
        <v>2.7750000000000001E-3</v>
      </c>
      <c r="Q153" s="11">
        <v>7.5166666666666672E-3</v>
      </c>
    </row>
    <row r="154" spans="1:17" x14ac:dyDescent="0.25">
      <c r="A154" s="10" t="s">
        <v>152</v>
      </c>
      <c r="B154" s="11">
        <v>3.5067147619598511E-2</v>
      </c>
      <c r="C154" s="11">
        <v>5.1681984986292444E-2</v>
      </c>
      <c r="D154" s="11">
        <v>1.7043133942972733E-2</v>
      </c>
      <c r="E154" s="11">
        <v>3.5124046909470866E-2</v>
      </c>
      <c r="F154" s="11">
        <v>2.0833333333333333E-3</v>
      </c>
      <c r="G154" s="11">
        <v>2.2166666666666667E-3</v>
      </c>
      <c r="H154" s="11">
        <v>2.2750000000000001E-3</v>
      </c>
      <c r="I154" s="11">
        <v>2.8249999999999998E-3</v>
      </c>
      <c r="J154" s="11">
        <v>2.225E-3</v>
      </c>
      <c r="K154" s="11">
        <v>2.4166666666666664E-3</v>
      </c>
      <c r="L154" s="11">
        <v>2.6416666666666667E-3</v>
      </c>
      <c r="M154" s="11">
        <v>2.9416666666666666E-3</v>
      </c>
      <c r="N154" s="11">
        <v>2.2333333333333333E-3</v>
      </c>
      <c r="O154" s="11">
        <v>2.2750000000000001E-3</v>
      </c>
      <c r="P154" s="11">
        <v>2.7416666666666666E-3</v>
      </c>
      <c r="Q154" s="11">
        <v>7.4916666666666673E-3</v>
      </c>
    </row>
    <row r="155" spans="1:17" x14ac:dyDescent="0.25">
      <c r="A155" s="10" t="s">
        <v>153</v>
      </c>
      <c r="B155" s="11">
        <v>2.1310967401078018E-2</v>
      </c>
      <c r="C155" s="11">
        <v>-3.1754552774883957E-3</v>
      </c>
      <c r="D155" s="11">
        <v>-1.5491529346102267E-2</v>
      </c>
      <c r="E155" s="11">
        <v>-4.5803810129184169E-3</v>
      </c>
      <c r="F155" s="11">
        <v>2.0833333333333333E-3</v>
      </c>
      <c r="G155" s="11">
        <v>2.2166666666666667E-3</v>
      </c>
      <c r="H155" s="11">
        <v>2.2833333333333334E-3</v>
      </c>
      <c r="I155" s="11">
        <v>2.7583333333333331E-3</v>
      </c>
      <c r="J155" s="11">
        <v>2.2166666666666667E-3</v>
      </c>
      <c r="K155" s="11">
        <v>2.3583333333333334E-3</v>
      </c>
      <c r="L155" s="11">
        <v>2.5666666666666667E-3</v>
      </c>
      <c r="M155" s="11">
        <v>2.8666666666666667E-3</v>
      </c>
      <c r="N155" s="11">
        <v>2.2166666666666667E-3</v>
      </c>
      <c r="O155" s="11">
        <v>2.2666666666666668E-3</v>
      </c>
      <c r="P155" s="11">
        <v>2.7083333333333334E-3</v>
      </c>
      <c r="Q155" s="11">
        <v>7.4666666666666675E-3</v>
      </c>
    </row>
    <row r="156" spans="1:17" x14ac:dyDescent="0.25">
      <c r="A156" s="10" t="s">
        <v>154</v>
      </c>
      <c r="B156" s="11">
        <v>1.0356045005521203E-2</v>
      </c>
      <c r="C156" s="11">
        <v>-5.0156768425425402E-3</v>
      </c>
      <c r="D156" s="11">
        <v>-4.1757983448904986E-3</v>
      </c>
      <c r="E156" s="11">
        <v>-2.8885883855458094E-2</v>
      </c>
      <c r="F156" s="11">
        <v>2.0833333333333333E-3</v>
      </c>
      <c r="G156" s="11">
        <v>2.2083333333333334E-3</v>
      </c>
      <c r="H156" s="11">
        <v>2.3166666666666665E-3</v>
      </c>
      <c r="I156" s="11">
        <v>2.8833333333333332E-3</v>
      </c>
      <c r="J156" s="11">
        <v>2.2541666666666669E-3</v>
      </c>
      <c r="K156" s="11">
        <v>2.4466666666666669E-3</v>
      </c>
      <c r="L156" s="11">
        <v>2.6975000000000002E-3</v>
      </c>
      <c r="M156" s="11">
        <v>2.986666666666667E-3</v>
      </c>
      <c r="N156" s="11">
        <v>2.2474999999999999E-3</v>
      </c>
      <c r="O156" s="11">
        <v>2.303333333333333E-3</v>
      </c>
      <c r="P156" s="11">
        <v>2.8050000000000002E-3</v>
      </c>
      <c r="Q156" s="11">
        <v>7.5550000000000001E-3</v>
      </c>
    </row>
    <row r="157" spans="1:17" x14ac:dyDescent="0.25">
      <c r="A157" s="10" t="s">
        <v>155</v>
      </c>
      <c r="B157" s="11">
        <v>-1.7511470825702494E-2</v>
      </c>
      <c r="C157" s="11">
        <v>-4.3391708789343973E-3</v>
      </c>
      <c r="D157" s="11">
        <v>-2.3986559195773492E-2</v>
      </c>
      <c r="E157" s="11">
        <v>-3.3013576760917374E-2</v>
      </c>
      <c r="F157" s="11">
        <v>2.0833333333333333E-3</v>
      </c>
      <c r="G157" s="11">
        <v>2.2083333333333334E-3</v>
      </c>
      <c r="H157" s="11">
        <v>2.3500000000000001E-3</v>
      </c>
      <c r="I157" s="11">
        <v>2.9399999999999999E-3</v>
      </c>
      <c r="J157" s="11">
        <v>2.2374999999999999E-3</v>
      </c>
      <c r="K157" s="11">
        <v>2.4508333333333331E-3</v>
      </c>
      <c r="L157" s="11">
        <v>2.7491666666666667E-3</v>
      </c>
      <c r="M157" s="11">
        <v>3.0441666666666668E-3</v>
      </c>
      <c r="N157" s="11">
        <v>2.2491666666666667E-3</v>
      </c>
      <c r="O157" s="11">
        <v>2.2924999999999998E-3</v>
      </c>
      <c r="P157" s="11">
        <v>2.8E-3</v>
      </c>
      <c r="Q157" s="11">
        <v>7.5483333333333331E-3</v>
      </c>
    </row>
    <row r="158" spans="1:17" x14ac:dyDescent="0.25">
      <c r="A158" s="10" t="s">
        <v>156</v>
      </c>
      <c r="B158" s="11">
        <v>-4.2822711169682379E-2</v>
      </c>
      <c r="C158" s="11">
        <v>-8.1080583043090812E-4</v>
      </c>
      <c r="D158" s="11">
        <v>3.2493029078700324E-2</v>
      </c>
      <c r="E158" s="11">
        <v>3.0420608412168315E-2</v>
      </c>
      <c r="F158" s="11">
        <v>2.0833333333333333E-3</v>
      </c>
      <c r="G158" s="11">
        <v>2.2083333333333334E-3</v>
      </c>
      <c r="H158" s="11">
        <v>2.3583333333333334E-3</v>
      </c>
      <c r="I158" s="11">
        <v>2.910833333333333E-3</v>
      </c>
      <c r="J158" s="11">
        <v>2.2141666666666668E-3</v>
      </c>
      <c r="K158" s="11">
        <v>2.4099999999999998E-3</v>
      </c>
      <c r="L158" s="11">
        <v>2.715E-3</v>
      </c>
      <c r="M158" s="11">
        <v>3.0391666666666661E-3</v>
      </c>
      <c r="N158" s="11">
        <v>2.2191666666666666E-3</v>
      </c>
      <c r="O158" s="11">
        <v>2.2766666666666669E-3</v>
      </c>
      <c r="P158" s="11">
        <v>2.7658333333333333E-3</v>
      </c>
      <c r="Q158" s="11">
        <v>7.5158333333333336E-3</v>
      </c>
    </row>
    <row r="159" spans="1:17" x14ac:dyDescent="0.25">
      <c r="A159" s="10" t="s">
        <v>157</v>
      </c>
      <c r="B159" s="11">
        <v>1.8531993864548853E-2</v>
      </c>
      <c r="C159" s="11">
        <v>1.948435165889003E-2</v>
      </c>
      <c r="D159" s="11">
        <v>4.6730324074074021E-2</v>
      </c>
      <c r="E159" s="11">
        <v>2.670807453416147E-2</v>
      </c>
      <c r="F159" s="11">
        <v>2.075E-3</v>
      </c>
      <c r="G159" s="11">
        <v>2.2083333333333334E-3</v>
      </c>
      <c r="H159" s="11">
        <v>2.3166666666666665E-3</v>
      </c>
      <c r="I159" s="11">
        <v>2.803333333333333E-3</v>
      </c>
      <c r="J159" s="11">
        <v>2.2000000000000001E-3</v>
      </c>
      <c r="K159" s="11">
        <v>2.3783333333333334E-3</v>
      </c>
      <c r="L159" s="11">
        <v>2.6341666666666666E-3</v>
      </c>
      <c r="M159" s="11">
        <v>2.9350000000000001E-3</v>
      </c>
      <c r="N159" s="11">
        <v>2.2108333333333333E-3</v>
      </c>
      <c r="O159" s="11">
        <v>2.2566666666666668E-3</v>
      </c>
      <c r="P159" s="11">
        <v>2.7333333333333328E-3</v>
      </c>
      <c r="Q159" s="11">
        <v>7.4783333333333334E-3</v>
      </c>
    </row>
    <row r="160" spans="1:17" x14ac:dyDescent="0.25">
      <c r="A160" s="10" t="s">
        <v>158</v>
      </c>
      <c r="B160" s="11">
        <v>8.7376195640479211E-5</v>
      </c>
      <c r="C160" s="11">
        <v>6.3405059741857214E-3</v>
      </c>
      <c r="D160" s="11">
        <v>4.9080198769210631E-2</v>
      </c>
      <c r="E160" s="11">
        <v>2.3858136721113133E-2</v>
      </c>
      <c r="F160" s="11">
        <v>2.0666666666666667E-3</v>
      </c>
      <c r="G160" s="11">
        <v>2.2083333333333334E-3</v>
      </c>
      <c r="H160" s="11">
        <v>2.3083333333333332E-3</v>
      </c>
      <c r="I160" s="11">
        <v>2.7683333333333331E-3</v>
      </c>
      <c r="J160" s="11">
        <v>2.2158333333333331E-3</v>
      </c>
      <c r="K160" s="11">
        <v>2.395E-3</v>
      </c>
      <c r="L160" s="11">
        <v>2.6408333333333336E-3</v>
      </c>
      <c r="M160" s="11">
        <v>2.9525000000000003E-3</v>
      </c>
      <c r="N160" s="11">
        <v>2.2225000000000001E-3</v>
      </c>
      <c r="O160" s="11">
        <v>2.2616666666666666E-3</v>
      </c>
      <c r="P160" s="11">
        <v>2.7524999999999997E-3</v>
      </c>
      <c r="Q160" s="11">
        <v>7.4949999999999991E-3</v>
      </c>
    </row>
    <row r="161" spans="1:17" x14ac:dyDescent="0.25">
      <c r="A161" s="10" t="s">
        <v>159</v>
      </c>
      <c r="B161" s="11">
        <v>-1.2796924626627812E-2</v>
      </c>
      <c r="C161" s="11">
        <v>-1.9876865000898806E-2</v>
      </c>
      <c r="D161" s="11">
        <v>3.1463310580204691E-2</v>
      </c>
      <c r="E161" s="11">
        <v>3.2792939177960764E-2</v>
      </c>
      <c r="F161" s="11">
        <v>2.075E-3</v>
      </c>
      <c r="G161" s="11">
        <v>2.2083333333333334E-3</v>
      </c>
      <c r="H161" s="11">
        <v>2.3E-3</v>
      </c>
      <c r="I161" s="11">
        <v>2.7725000000000002E-3</v>
      </c>
      <c r="J161" s="11">
        <v>2.2108333333333333E-3</v>
      </c>
      <c r="K161" s="11">
        <v>2.3958333333333336E-3</v>
      </c>
      <c r="L161" s="11">
        <v>2.64E-3</v>
      </c>
      <c r="M161" s="11">
        <v>2.9499999999999999E-3</v>
      </c>
      <c r="N161" s="11">
        <v>2.2191666666666666E-3</v>
      </c>
      <c r="O161" s="11">
        <v>2.2575E-3</v>
      </c>
      <c r="P161" s="11">
        <v>2.7524999999999997E-3</v>
      </c>
      <c r="Q161" s="11">
        <v>7.4983333333333325E-3</v>
      </c>
    </row>
    <row r="162" spans="1:17" x14ac:dyDescent="0.25">
      <c r="A162" s="10" t="s">
        <v>160</v>
      </c>
      <c r="B162" s="11">
        <v>1.9610803381783268E-2</v>
      </c>
      <c r="C162" s="11">
        <v>-6.1715658628956763E-3</v>
      </c>
      <c r="D162" s="11">
        <v>3.0388000510927174E-2</v>
      </c>
      <c r="E162" s="11">
        <v>-2.2901991632996135E-2</v>
      </c>
      <c r="F162" s="11">
        <v>2.075E-3</v>
      </c>
      <c r="G162" s="11">
        <v>2.2083333333333334E-3</v>
      </c>
      <c r="H162" s="11">
        <v>2.3E-3</v>
      </c>
      <c r="I162" s="11">
        <v>2.6949999999999999E-3</v>
      </c>
      <c r="J162" s="11">
        <v>2.2008333333333333E-3</v>
      </c>
      <c r="K162" s="11">
        <v>2.3650000000000003E-3</v>
      </c>
      <c r="L162" s="11">
        <v>2.5683333333333335E-3</v>
      </c>
      <c r="M162" s="11">
        <v>2.8350000000000003E-3</v>
      </c>
      <c r="N162" s="11">
        <v>2.2158333333333331E-3</v>
      </c>
      <c r="O162" s="11">
        <v>2.2508333333333334E-3</v>
      </c>
      <c r="P162" s="11">
        <v>2.7199999999999998E-3</v>
      </c>
      <c r="Q162" s="11">
        <v>7.4641666666666676E-3</v>
      </c>
    </row>
    <row r="163" spans="1:17" x14ac:dyDescent="0.25">
      <c r="A163" s="10" t="s">
        <v>161</v>
      </c>
      <c r="B163" s="11">
        <v>2.297618135865819E-3</v>
      </c>
      <c r="C163" s="11">
        <v>1.591688158301461E-2</v>
      </c>
      <c r="D163" s="11">
        <v>-1.0891188467736726E-2</v>
      </c>
      <c r="E163" s="11">
        <v>-1.7327502607359206E-2</v>
      </c>
      <c r="F163" s="11">
        <v>2.0666666666666667E-3</v>
      </c>
      <c r="G163" s="11">
        <v>2.2083333333333334E-3</v>
      </c>
      <c r="H163" s="11">
        <v>2.2833333333333334E-3</v>
      </c>
      <c r="I163" s="11">
        <v>2.5716666666666665E-3</v>
      </c>
      <c r="J163" s="11">
        <v>2.1683333333333333E-3</v>
      </c>
      <c r="K163" s="11">
        <v>2.2883333333333332E-3</v>
      </c>
      <c r="L163" s="11">
        <v>2.4766666666666665E-3</v>
      </c>
      <c r="M163" s="11">
        <v>2.7383333333333335E-3</v>
      </c>
      <c r="N163" s="11">
        <v>2.1900000000000001E-3</v>
      </c>
      <c r="O163" s="11">
        <v>2.2133333333333332E-3</v>
      </c>
      <c r="P163" s="11">
        <v>2.64E-3</v>
      </c>
      <c r="Q163" s="11">
        <v>7.3858333333333337E-3</v>
      </c>
    </row>
    <row r="164" spans="1:17" x14ac:dyDescent="0.25">
      <c r="A164" s="10" t="s">
        <v>162</v>
      </c>
      <c r="B164" s="11">
        <v>3.7991900359135099E-2</v>
      </c>
      <c r="C164" s="11">
        <v>2.9168804864646191E-2</v>
      </c>
      <c r="D164" s="11">
        <v>3.9908568973131761E-2</v>
      </c>
      <c r="E164" s="11">
        <v>-1.3778721185712872E-3</v>
      </c>
      <c r="F164" s="11">
        <v>2.075E-3</v>
      </c>
      <c r="G164" s="11">
        <v>2.2083333333333334E-3</v>
      </c>
      <c r="H164" s="11">
        <v>2.2750000000000001E-3</v>
      </c>
      <c r="I164" s="11">
        <v>2.4041666666666664E-3</v>
      </c>
      <c r="J164" s="11">
        <v>2.0733333333333333E-3</v>
      </c>
      <c r="K164" s="11">
        <v>2.1316666666666667E-3</v>
      </c>
      <c r="L164" s="11">
        <v>2.3041666666666666E-3</v>
      </c>
      <c r="M164" s="11">
        <v>2.5466666666666667E-3</v>
      </c>
      <c r="N164" s="11">
        <v>2.0774999999999999E-3</v>
      </c>
      <c r="O164" s="11">
        <v>2.1016666666666666E-3</v>
      </c>
      <c r="P164" s="11">
        <v>2.4750000000000002E-3</v>
      </c>
      <c r="Q164" s="11">
        <v>7.2233333333333325E-3</v>
      </c>
    </row>
    <row r="165" spans="1:17" x14ac:dyDescent="0.25">
      <c r="A165" s="10" t="s">
        <v>163</v>
      </c>
      <c r="B165" s="11">
        <v>-1.1959973106010472E-2</v>
      </c>
      <c r="C165" s="11">
        <v>3.9170608585145636E-2</v>
      </c>
      <c r="D165" s="11">
        <v>3.4302275531579086E-2</v>
      </c>
      <c r="E165" s="11">
        <v>6.3171241050119314E-2</v>
      </c>
      <c r="F165" s="11">
        <v>1.9499999999999997E-3</v>
      </c>
      <c r="G165" s="11">
        <v>2.0999999999999999E-3</v>
      </c>
      <c r="H165" s="11">
        <v>2.1583333333333333E-3</v>
      </c>
      <c r="I165" s="11">
        <v>2.4091666666666667E-3</v>
      </c>
      <c r="J165" s="11">
        <v>1.9908333333333332E-3</v>
      </c>
      <c r="K165" s="11">
        <v>2.1166666666666664E-3</v>
      </c>
      <c r="L165" s="11">
        <v>2.3108333333333336E-3</v>
      </c>
      <c r="M165" s="11">
        <v>2.5716666666666665E-3</v>
      </c>
      <c r="N165" s="11">
        <v>1.983333333333333E-3</v>
      </c>
      <c r="O165" s="11">
        <v>2.0274999999999998E-3</v>
      </c>
      <c r="P165" s="11">
        <v>2.4383333333333336E-3</v>
      </c>
      <c r="Q165" s="11">
        <v>7.208333333333334E-3</v>
      </c>
    </row>
    <row r="166" spans="1:17" x14ac:dyDescent="0.25">
      <c r="A166" s="10" t="s">
        <v>164</v>
      </c>
      <c r="B166" s="11">
        <v>-3.064184457049763E-2</v>
      </c>
      <c r="C166" s="11">
        <v>5.9575118576990094E-3</v>
      </c>
      <c r="D166" s="11">
        <v>1.6779305523188074E-2</v>
      </c>
      <c r="E166" s="11">
        <v>5.2963872325499503E-3</v>
      </c>
      <c r="F166" s="11">
        <v>1.8666666666666669E-3</v>
      </c>
      <c r="G166" s="11">
        <v>1.9583333333333332E-3</v>
      </c>
      <c r="H166" s="11">
        <v>2.0250000000000003E-3</v>
      </c>
      <c r="I166" s="11">
        <v>2.3116666666666667E-3</v>
      </c>
      <c r="J166" s="11">
        <v>1.8975000000000001E-3</v>
      </c>
      <c r="K166" s="11">
        <v>2.0041666666666667E-3</v>
      </c>
      <c r="L166" s="11">
        <v>2.2074999999999998E-3</v>
      </c>
      <c r="M166" s="11">
        <v>2.5100000000000001E-3</v>
      </c>
      <c r="N166" s="11">
        <v>1.8999999999999998E-3</v>
      </c>
      <c r="O166" s="11">
        <v>1.9275000000000002E-3</v>
      </c>
      <c r="P166" s="11">
        <v>2.3216666666666668E-3</v>
      </c>
      <c r="Q166" s="11">
        <v>7.1108333333333327E-3</v>
      </c>
    </row>
    <row r="167" spans="1:17" x14ac:dyDescent="0.25">
      <c r="A167" s="10" t="s">
        <v>165</v>
      </c>
      <c r="B167" s="11">
        <v>-2.6394133953688566E-2</v>
      </c>
      <c r="C167" s="11">
        <v>-3.8445952791003921E-2</v>
      </c>
      <c r="D167" s="11">
        <v>-1.70917782652827E-2</v>
      </c>
      <c r="E167" s="11">
        <v>-2.5330588604724157E-2</v>
      </c>
      <c r="F167" s="11">
        <v>1.725E-3</v>
      </c>
      <c r="G167" s="11">
        <v>1.8416666666666666E-3</v>
      </c>
      <c r="H167" s="11">
        <v>1.9333333333333331E-3</v>
      </c>
      <c r="I167" s="11">
        <v>2.1141666666666665E-3</v>
      </c>
      <c r="J167" s="11">
        <v>1.7783333333333332E-3</v>
      </c>
      <c r="K167" s="11">
        <v>1.8658333333333333E-3</v>
      </c>
      <c r="L167" s="11">
        <v>2.0166666666666666E-3</v>
      </c>
      <c r="M167" s="11">
        <v>2.3075000000000001E-3</v>
      </c>
      <c r="N167" s="11">
        <v>1.7791666666666665E-3</v>
      </c>
      <c r="O167" s="11">
        <v>1.8058333333333331E-3</v>
      </c>
      <c r="P167" s="11">
        <v>2.1624999999999999E-3</v>
      </c>
      <c r="Q167" s="11">
        <v>6.9566666666666674E-3</v>
      </c>
    </row>
    <row r="168" spans="1:17" x14ac:dyDescent="0.25">
      <c r="A168" s="10" t="s">
        <v>166</v>
      </c>
      <c r="B168" s="11">
        <v>1.5325831815837456E-2</v>
      </c>
      <c r="C168" s="11">
        <v>-9.7587314966022312E-3</v>
      </c>
      <c r="D168" s="11">
        <v>-4.1795751579555278E-2</v>
      </c>
      <c r="E168" s="11">
        <v>-2.4378020404510477E-2</v>
      </c>
      <c r="F168" s="11">
        <v>1.6499999999999998E-3</v>
      </c>
      <c r="G168" s="11">
        <v>1.7833333333333336E-3</v>
      </c>
      <c r="H168" s="11">
        <v>1.8666666666666669E-3</v>
      </c>
      <c r="I168" s="11">
        <v>2.0141666666666663E-3</v>
      </c>
      <c r="J168" s="11">
        <v>1.7058333333333335E-3</v>
      </c>
      <c r="K168" s="11">
        <v>1.7816666666666666E-3</v>
      </c>
      <c r="L168" s="11">
        <v>1.9375000000000002E-3</v>
      </c>
      <c r="M168" s="11">
        <v>2.2433333333333337E-3</v>
      </c>
      <c r="N168" s="11">
        <v>1.7058333333333335E-3</v>
      </c>
      <c r="O168" s="11">
        <v>1.7458333333333336E-3</v>
      </c>
      <c r="P168" s="11">
        <v>2.055E-3</v>
      </c>
      <c r="Q168" s="11">
        <v>6.8800000000000007E-3</v>
      </c>
    </row>
    <row r="169" spans="1:17" x14ac:dyDescent="0.25">
      <c r="A169" s="10" t="s">
        <v>167</v>
      </c>
      <c r="B169" s="11">
        <v>-3.9586767434868761E-2</v>
      </c>
      <c r="C169" s="11">
        <v>-1.3862474675603899E-2</v>
      </c>
      <c r="D169" s="11">
        <v>-1.305436130392962E-2</v>
      </c>
      <c r="E169" s="11">
        <v>-3.8709914141043765E-3</v>
      </c>
      <c r="F169" s="11">
        <v>1.6583333333333335E-3</v>
      </c>
      <c r="G169" s="11">
        <v>1.7749999999999999E-3</v>
      </c>
      <c r="H169" s="11">
        <v>1.9166666666666666E-3</v>
      </c>
      <c r="I169" s="11">
        <v>2.0300000000000001E-3</v>
      </c>
      <c r="J169" s="11">
        <v>1.7266666666666669E-3</v>
      </c>
      <c r="K169" s="11">
        <v>1.7858333333333331E-3</v>
      </c>
      <c r="L169" s="11">
        <v>1.9475000000000002E-3</v>
      </c>
      <c r="M169" s="11">
        <v>2.2341666666666669E-3</v>
      </c>
      <c r="N169" s="11">
        <v>1.7391666666666669E-3</v>
      </c>
      <c r="O169" s="11">
        <v>1.7783333333333332E-3</v>
      </c>
      <c r="P169" s="11">
        <v>2.0500000000000002E-3</v>
      </c>
      <c r="Q169" s="11">
        <v>6.9049999999999988E-3</v>
      </c>
    </row>
    <row r="170" spans="1:17" x14ac:dyDescent="0.25">
      <c r="A170" s="10" t="s">
        <v>168</v>
      </c>
      <c r="B170" s="11">
        <v>2.0223336445722998E-2</v>
      </c>
      <c r="C170" s="11">
        <v>4.2455247565701362E-2</v>
      </c>
      <c r="D170" s="11">
        <v>3.8818079878825663E-2</v>
      </c>
      <c r="E170" s="11">
        <v>8.952612483194286E-2</v>
      </c>
      <c r="F170" s="11">
        <v>1.6583333333333335E-3</v>
      </c>
      <c r="G170" s="11">
        <v>1.7749999999999999E-3</v>
      </c>
      <c r="H170" s="11">
        <v>1.8833333333333332E-3</v>
      </c>
      <c r="I170" s="11">
        <v>1.8850000000000002E-3</v>
      </c>
      <c r="J170" s="11">
        <v>1.6625000000000001E-3</v>
      </c>
      <c r="K170" s="11">
        <v>1.6991666666666668E-3</v>
      </c>
      <c r="L170" s="11">
        <v>1.7983333333333332E-3</v>
      </c>
      <c r="M170" s="11">
        <v>2.0125E-3</v>
      </c>
      <c r="N170" s="11">
        <v>1.6674999999999999E-3</v>
      </c>
      <c r="O170" s="11">
        <v>1.7041666666666665E-3</v>
      </c>
      <c r="P170" s="11">
        <v>1.963333333333333E-3</v>
      </c>
      <c r="Q170" s="11">
        <v>6.8408333333333333E-3</v>
      </c>
    </row>
    <row r="171" spans="1:17" x14ac:dyDescent="0.25">
      <c r="A171" s="10" t="s">
        <v>169</v>
      </c>
      <c r="B171" s="11">
        <v>3.8407008485515327E-3</v>
      </c>
      <c r="C171" s="11">
        <v>5.3456380180257897E-2</v>
      </c>
      <c r="D171" s="11">
        <v>7.116900731865837E-2</v>
      </c>
      <c r="E171" s="11">
        <v>5.5749011122755841E-2</v>
      </c>
      <c r="F171" s="11">
        <v>1.6583333333333335E-3</v>
      </c>
      <c r="G171" s="11">
        <v>1.7666666666666666E-3</v>
      </c>
      <c r="H171" s="11">
        <v>1.8666666666666669E-3</v>
      </c>
      <c r="I171" s="11">
        <v>1.8316666666666666E-3</v>
      </c>
      <c r="J171" s="11">
        <v>1.6508333333333334E-3</v>
      </c>
      <c r="K171" s="11">
        <v>1.6866666666666668E-3</v>
      </c>
      <c r="L171" s="11">
        <v>1.7633333333333335E-3</v>
      </c>
      <c r="M171" s="11">
        <v>1.9550000000000001E-3</v>
      </c>
      <c r="N171" s="11">
        <v>1.6533333333333333E-3</v>
      </c>
      <c r="O171" s="11">
        <v>1.6866666666666668E-3</v>
      </c>
      <c r="P171" s="11">
        <v>1.9166666666666666E-3</v>
      </c>
      <c r="Q171" s="11">
        <v>6.8258333333333339E-3</v>
      </c>
    </row>
    <row r="172" spans="1:17" x14ac:dyDescent="0.25">
      <c r="A172" s="10" t="s">
        <v>170</v>
      </c>
      <c r="B172" s="11">
        <v>2.2671458836177358E-2</v>
      </c>
      <c r="C172" s="11">
        <v>5.3175376403068568E-2</v>
      </c>
      <c r="D172" s="11">
        <v>8.4822040962762066E-2</v>
      </c>
      <c r="E172" s="11">
        <v>4.1517228128602639E-2</v>
      </c>
      <c r="F172" s="11">
        <v>1.5250000000000001E-3</v>
      </c>
      <c r="G172" s="11">
        <v>1.6249999999999999E-3</v>
      </c>
      <c r="H172" s="11">
        <v>1.6666666666666668E-3</v>
      </c>
      <c r="I172" s="11">
        <v>1.7141666666666666E-3</v>
      </c>
      <c r="J172" s="11">
        <v>1.5316666666666666E-3</v>
      </c>
      <c r="K172" s="11">
        <v>1.5541666666666666E-3</v>
      </c>
      <c r="L172" s="11">
        <v>1.6408333333333333E-3</v>
      </c>
      <c r="M172" s="11">
        <v>1.8966666666666665E-3</v>
      </c>
      <c r="N172" s="11">
        <v>1.5300000000000001E-3</v>
      </c>
      <c r="O172" s="11">
        <v>1.5799999999999998E-3</v>
      </c>
      <c r="P172" s="11">
        <v>1.7733333333333334E-3</v>
      </c>
      <c r="Q172" s="11">
        <v>6.6891666666666662E-3</v>
      </c>
    </row>
    <row r="173" spans="1:17" x14ac:dyDescent="0.25">
      <c r="A173" s="10" t="s">
        <v>171</v>
      </c>
      <c r="B173" s="11">
        <v>3.7195448736447242E-2</v>
      </c>
      <c r="C173" s="11">
        <v>6.3647600242541083E-2</v>
      </c>
      <c r="D173" s="11">
        <v>5.7495805267125354E-2</v>
      </c>
      <c r="E173" s="11">
        <v>5.9216898030715281E-2</v>
      </c>
      <c r="F173" s="11">
        <v>1.4416666666666666E-3</v>
      </c>
      <c r="G173" s="11">
        <v>1.5083333333333335E-3</v>
      </c>
      <c r="H173" s="11">
        <v>1.5666666666666665E-3</v>
      </c>
      <c r="I173" s="11">
        <v>1.6258333333333333E-3</v>
      </c>
      <c r="J173" s="11">
        <v>1.4191666666666667E-3</v>
      </c>
      <c r="K173" s="11">
        <v>1.449166666666667E-3</v>
      </c>
      <c r="L173" s="11">
        <v>1.5475E-3</v>
      </c>
      <c r="M173" s="11">
        <v>1.8141666666666668E-3</v>
      </c>
      <c r="N173" s="11">
        <v>1.42E-3</v>
      </c>
      <c r="O173" s="11">
        <v>1.4575000000000002E-3</v>
      </c>
      <c r="P173" s="11">
        <v>1.6566666666666665E-3</v>
      </c>
      <c r="Q173" s="11">
        <v>6.5733333333333338E-3</v>
      </c>
    </row>
    <row r="174" spans="1:17" x14ac:dyDescent="0.25">
      <c r="A174" s="10" t="s">
        <v>172</v>
      </c>
      <c r="B174" s="11">
        <v>-2.0996253862893364E-2</v>
      </c>
      <c r="C174" s="11">
        <v>3.6265169869651406E-2</v>
      </c>
      <c r="D174" s="11">
        <v>3.9528691069137395E-2</v>
      </c>
      <c r="E174" s="11">
        <v>3.2481386336918182E-2</v>
      </c>
      <c r="F174" s="11">
        <v>1.4499999999999999E-3</v>
      </c>
      <c r="G174" s="11">
        <v>1.5000000000000002E-3</v>
      </c>
      <c r="H174" s="11">
        <v>1.5583333333333334E-3</v>
      </c>
      <c r="I174" s="11">
        <v>1.8775E-3</v>
      </c>
      <c r="J174" s="11">
        <v>1.4549999999999999E-3</v>
      </c>
      <c r="K174" s="11">
        <v>1.5624999999999999E-3</v>
      </c>
      <c r="L174" s="11">
        <v>1.7583333333333331E-3</v>
      </c>
      <c r="M174" s="11">
        <v>2.075E-3</v>
      </c>
      <c r="N174" s="11">
        <v>1.4525E-3</v>
      </c>
      <c r="O174" s="11">
        <v>1.5108333333333334E-3</v>
      </c>
      <c r="P174" s="11">
        <v>1.7625000000000002E-3</v>
      </c>
      <c r="Q174" s="11">
        <v>6.6874999999999999E-3</v>
      </c>
    </row>
    <row r="175" spans="1:17" x14ac:dyDescent="0.25">
      <c r="A175" s="10" t="s">
        <v>173</v>
      </c>
      <c r="B175" s="11">
        <v>-3.0799602127400457E-2</v>
      </c>
      <c r="C175" s="11">
        <v>4.1770254782685291E-2</v>
      </c>
      <c r="D175" s="11">
        <v>1.6811778863154526E-4</v>
      </c>
      <c r="E175" s="11">
        <v>4.3407975934438209E-2</v>
      </c>
      <c r="F175" s="11">
        <v>1.3083333333333334E-3</v>
      </c>
      <c r="G175" s="11">
        <v>1.4166666666666668E-3</v>
      </c>
      <c r="H175" s="11">
        <v>1.4416666666666666E-3</v>
      </c>
      <c r="I175" s="11">
        <v>1.8583333333333334E-3</v>
      </c>
      <c r="J175" s="11">
        <v>1.3583333333333331E-3</v>
      </c>
      <c r="K175" s="11">
        <v>1.4774999999999999E-3</v>
      </c>
      <c r="L175" s="11">
        <v>1.7000000000000001E-3</v>
      </c>
      <c r="M175" s="11">
        <v>2.0566666666666667E-3</v>
      </c>
      <c r="N175" s="11">
        <v>1.3566666666666666E-3</v>
      </c>
      <c r="O175" s="11">
        <v>1.4133333333333333E-3</v>
      </c>
      <c r="P175" s="11">
        <v>1.6766666666666666E-3</v>
      </c>
      <c r="Q175" s="11">
        <v>6.6024999999999999E-3</v>
      </c>
    </row>
    <row r="176" spans="1:17" x14ac:dyDescent="0.25">
      <c r="A176" s="10" t="s">
        <v>174</v>
      </c>
      <c r="B176" s="11">
        <v>-2.4515784457977023E-2</v>
      </c>
      <c r="C176" s="11">
        <v>-9.1632252386431891E-3</v>
      </c>
      <c r="D176" s="11">
        <v>1.7118591586678224E-3</v>
      </c>
      <c r="E176" s="11">
        <v>-2.3185633260134501E-2</v>
      </c>
      <c r="F176" s="11">
        <v>1.2333333333333335E-3</v>
      </c>
      <c r="G176" s="11">
        <v>1.3750000000000001E-3</v>
      </c>
      <c r="H176" s="11">
        <v>1.4166666666666668E-3</v>
      </c>
      <c r="I176" s="11">
        <v>1.8624999999999998E-3</v>
      </c>
      <c r="J176" s="11">
        <v>1.3308333333333332E-3</v>
      </c>
      <c r="K176" s="11">
        <v>1.4808333333333331E-3</v>
      </c>
      <c r="L176" s="11">
        <v>1.7066666666666669E-3</v>
      </c>
      <c r="M176" s="11">
        <v>2.0416666666666669E-3</v>
      </c>
      <c r="N176" s="11">
        <v>1.3308333333333332E-3</v>
      </c>
      <c r="O176" s="11">
        <v>1.3933333333333332E-3</v>
      </c>
      <c r="P176" s="11">
        <v>1.6674999999999999E-3</v>
      </c>
      <c r="Q176" s="11">
        <v>6.5991666666666664E-3</v>
      </c>
    </row>
    <row r="177" spans="1:17" x14ac:dyDescent="0.25">
      <c r="A177" s="10" t="s">
        <v>175</v>
      </c>
      <c r="B177" s="11">
        <v>-4.9356672410183759E-2</v>
      </c>
      <c r="C177" s="11">
        <v>-2.0552554891651656E-2</v>
      </c>
      <c r="D177" s="11">
        <v>-6.2625575716361237E-2</v>
      </c>
      <c r="E177" s="11">
        <v>-5.2340495958955034E-2</v>
      </c>
      <c r="F177" s="11">
        <v>1.2416666666666667E-3</v>
      </c>
      <c r="G177" s="11">
        <v>1.3666666666666664E-3</v>
      </c>
      <c r="H177" s="11">
        <v>1.4166666666666668E-3</v>
      </c>
      <c r="I177" s="11">
        <v>1.7533333333333333E-3</v>
      </c>
      <c r="J177" s="11">
        <v>1.3183333333333335E-3</v>
      </c>
      <c r="K177" s="11">
        <v>1.4458333333333335E-3</v>
      </c>
      <c r="L177" s="11">
        <v>1.6216666666666664E-3</v>
      </c>
      <c r="M177" s="11">
        <v>1.9233333333333333E-3</v>
      </c>
      <c r="N177" s="11">
        <v>1.32E-3</v>
      </c>
      <c r="O177" s="11">
        <v>1.3799999999999999E-3</v>
      </c>
      <c r="P177" s="11">
        <v>1.6499999999999998E-3</v>
      </c>
      <c r="Q177" s="11">
        <v>6.5908333333333331E-3</v>
      </c>
    </row>
    <row r="178" spans="1:17" x14ac:dyDescent="0.25">
      <c r="A178" s="10" t="s">
        <v>176</v>
      </c>
      <c r="B178" s="11">
        <v>2.5606712515951209E-2</v>
      </c>
      <c r="C178" s="11">
        <v>-2.4321845014074101E-2</v>
      </c>
      <c r="D178" s="11">
        <v>1.4452950182546147E-2</v>
      </c>
      <c r="E178" s="11">
        <v>-1.2559852134301634E-2</v>
      </c>
      <c r="F178" s="11">
        <v>1.2333333333333335E-3</v>
      </c>
      <c r="G178" s="11">
        <v>1.3333333333333333E-3</v>
      </c>
      <c r="H178" s="11">
        <v>1.4083333333333333E-3</v>
      </c>
      <c r="I178" s="11">
        <v>1.6516666666666667E-3</v>
      </c>
      <c r="J178" s="11">
        <v>1.2941666666666666E-3</v>
      </c>
      <c r="K178" s="11">
        <v>1.3758333333333333E-3</v>
      </c>
      <c r="L178" s="11">
        <v>1.5383333333333334E-3</v>
      </c>
      <c r="M178" s="11">
        <v>1.8466666666666668E-3</v>
      </c>
      <c r="N178" s="11">
        <v>1.2958333333333333E-3</v>
      </c>
      <c r="O178" s="11">
        <v>1.3500000000000003E-3</v>
      </c>
      <c r="P178" s="11">
        <v>1.6216666666666664E-3</v>
      </c>
      <c r="Q178" s="11">
        <v>6.5599999999999999E-3</v>
      </c>
    </row>
    <row r="179" spans="1:17" x14ac:dyDescent="0.25">
      <c r="A179" s="10" t="s">
        <v>177</v>
      </c>
      <c r="B179" s="11">
        <v>4.8888717607095573E-2</v>
      </c>
      <c r="C179" s="11">
        <v>-2.5303513463270848E-2</v>
      </c>
      <c r="D179" s="11">
        <v>-1.1465429570499184E-2</v>
      </c>
      <c r="E179" s="11">
        <v>7.590496403725942E-3</v>
      </c>
      <c r="F179" s="11">
        <v>1.2333333333333335E-3</v>
      </c>
      <c r="G179" s="11">
        <v>1.3166666666666667E-3</v>
      </c>
      <c r="H179" s="11">
        <v>1.4166666666666668E-3</v>
      </c>
      <c r="I179" s="11">
        <v>1.5900000000000001E-3</v>
      </c>
      <c r="J179" s="11">
        <v>1.2883333333333334E-3</v>
      </c>
      <c r="K179" s="11">
        <v>1.3558333333333332E-3</v>
      </c>
      <c r="L179" s="11">
        <v>1.4866666666666667E-3</v>
      </c>
      <c r="M179" s="11">
        <v>1.74E-3</v>
      </c>
      <c r="N179" s="11">
        <v>1.2908333333333333E-3</v>
      </c>
      <c r="O179" s="11">
        <v>1.3491666666666667E-3</v>
      </c>
      <c r="P179" s="11">
        <v>1.635E-3</v>
      </c>
      <c r="Q179" s="11">
        <v>6.5783333333333327E-3</v>
      </c>
    </row>
    <row r="180" spans="1:17" x14ac:dyDescent="0.25">
      <c r="A180" s="10" t="s">
        <v>178</v>
      </c>
      <c r="B180" s="11">
        <v>-2.1016497215471566E-2</v>
      </c>
      <c r="C180" s="11">
        <v>-3.7924634874526475E-3</v>
      </c>
      <c r="D180" s="11">
        <v>-1.4586093181882113E-2</v>
      </c>
      <c r="E180" s="11">
        <v>6.9482029752936528E-3</v>
      </c>
      <c r="F180" s="11">
        <v>1.2416666666666667E-3</v>
      </c>
      <c r="G180" s="11">
        <v>1.325E-3</v>
      </c>
      <c r="H180" s="11">
        <v>1.4499999999999999E-3</v>
      </c>
      <c r="I180" s="11">
        <v>1.7116666666666667E-3</v>
      </c>
      <c r="J180" s="11">
        <v>1.3591666666666667E-3</v>
      </c>
      <c r="K180" s="11">
        <v>1.4600000000000001E-3</v>
      </c>
      <c r="L180" s="11">
        <v>1.6208333333333335E-3</v>
      </c>
      <c r="M180" s="11">
        <v>1.8783333333333334E-3</v>
      </c>
      <c r="N180" s="11">
        <v>1.3641666666666665E-3</v>
      </c>
      <c r="O180" s="11">
        <v>1.4308333333333334E-3</v>
      </c>
      <c r="P180" s="11">
        <v>1.7649999999999999E-3</v>
      </c>
      <c r="Q180" s="11">
        <v>6.7200000000000003E-3</v>
      </c>
    </row>
    <row r="181" spans="1:17" x14ac:dyDescent="0.25">
      <c r="A181" s="10" t="s">
        <v>179</v>
      </c>
      <c r="B181" s="11">
        <v>-1.5167843528333247E-2</v>
      </c>
      <c r="C181" s="11">
        <v>-8.2323314139285727E-3</v>
      </c>
      <c r="D181" s="11">
        <v>-2.4712898474035794E-2</v>
      </c>
      <c r="E181" s="11">
        <v>-8.7596966791597276E-3</v>
      </c>
      <c r="F181" s="11">
        <v>1.2333333333333335E-3</v>
      </c>
      <c r="G181" s="11">
        <v>1.3916666666666667E-3</v>
      </c>
      <c r="H181" s="11">
        <v>1.5833333333333333E-3</v>
      </c>
      <c r="I181" s="11">
        <v>1.7149999999999997E-3</v>
      </c>
      <c r="J181" s="11">
        <v>1.3625E-3</v>
      </c>
      <c r="K181" s="11">
        <v>1.4325E-3</v>
      </c>
      <c r="L181" s="11">
        <v>1.5849999999999998E-3</v>
      </c>
      <c r="M181" s="11">
        <v>1.8174999999999999E-3</v>
      </c>
      <c r="N181" s="11">
        <v>1.3691666666666668E-3</v>
      </c>
      <c r="O181" s="11">
        <v>1.4366666666666666E-3</v>
      </c>
      <c r="P181" s="11">
        <v>1.7858333333333331E-3</v>
      </c>
      <c r="Q181" s="11">
        <v>6.7375000000000004E-3</v>
      </c>
    </row>
    <row r="182" spans="1:17" x14ac:dyDescent="0.25">
      <c r="A182" s="10" t="s">
        <v>180</v>
      </c>
      <c r="B182" s="11">
        <v>-3.2664793885150589E-2</v>
      </c>
      <c r="C182" s="11">
        <v>-9.1619149441673677E-3</v>
      </c>
      <c r="D182" s="11">
        <v>-1.5113522496761662E-2</v>
      </c>
      <c r="E182" s="11">
        <v>6.5948560123093984E-4</v>
      </c>
      <c r="F182" s="11">
        <v>1.2416666666666667E-3</v>
      </c>
      <c r="G182" s="11">
        <v>1.3916666666666667E-3</v>
      </c>
      <c r="H182" s="11">
        <v>1.5250000000000001E-3</v>
      </c>
      <c r="I182" s="11">
        <v>1.5958333333333334E-3</v>
      </c>
      <c r="J182" s="11">
        <v>1.3224999999999999E-3</v>
      </c>
      <c r="K182" s="11">
        <v>1.3566666666666666E-3</v>
      </c>
      <c r="L182" s="11">
        <v>1.4766666666666667E-3</v>
      </c>
      <c r="M182" s="11">
        <v>1.6875E-3</v>
      </c>
      <c r="N182" s="11">
        <v>1.3233333333333335E-3</v>
      </c>
      <c r="O182" s="11">
        <v>1.3875000000000001E-3</v>
      </c>
      <c r="P182" s="11">
        <v>1.7425000000000001E-3</v>
      </c>
      <c r="Q182" s="11">
        <v>6.6941666666666668E-3</v>
      </c>
    </row>
    <row r="183" spans="1:17" x14ac:dyDescent="0.25">
      <c r="A183" s="10" t="s">
        <v>181</v>
      </c>
      <c r="B183" s="11">
        <v>1.0029040318768242E-2</v>
      </c>
      <c r="C183" s="11">
        <v>-3.2719139179042941E-2</v>
      </c>
      <c r="D183" s="11">
        <v>-4.7495446491938494E-3</v>
      </c>
      <c r="E183" s="11">
        <v>-4.5664909197422311E-2</v>
      </c>
      <c r="F183" s="11">
        <v>1.2416666666666667E-3</v>
      </c>
      <c r="G183" s="11">
        <v>1.3666666666666664E-3</v>
      </c>
      <c r="H183" s="11">
        <v>1.4666666666666667E-3</v>
      </c>
      <c r="I183" s="11">
        <v>1.4333333333333333E-3</v>
      </c>
      <c r="J183" s="11">
        <v>1.2241666666666668E-3</v>
      </c>
      <c r="K183" s="11">
        <v>1.2283333333333332E-3</v>
      </c>
      <c r="L183" s="11">
        <v>1.3216666666666665E-3</v>
      </c>
      <c r="M183" s="11">
        <v>1.5216666666666668E-3</v>
      </c>
      <c r="N183" s="11">
        <v>1.225E-3</v>
      </c>
      <c r="O183" s="11">
        <v>1.2825E-3</v>
      </c>
      <c r="P183" s="11">
        <v>1.6249999999999999E-3</v>
      </c>
      <c r="Q183" s="11">
        <v>6.5841666666666661E-3</v>
      </c>
    </row>
    <row r="184" spans="1:17" x14ac:dyDescent="0.25">
      <c r="A184" s="10" t="s">
        <v>182</v>
      </c>
      <c r="B184" s="11">
        <v>4.4303656402884105E-2</v>
      </c>
      <c r="C184" s="11">
        <v>3.429456763822987E-2</v>
      </c>
      <c r="D184" s="11">
        <v>5.1621653967367565E-2</v>
      </c>
      <c r="E184" s="11">
        <v>5.6413246984438767E-2</v>
      </c>
      <c r="F184" s="11">
        <v>1.2416666666666667E-3</v>
      </c>
      <c r="G184" s="11">
        <v>1.3583333333333331E-3</v>
      </c>
      <c r="H184" s="11">
        <v>1.4250000000000001E-3</v>
      </c>
      <c r="I184" s="11">
        <v>1.449166666666667E-3</v>
      </c>
      <c r="J184" s="11">
        <v>1.2558333333333332E-3</v>
      </c>
      <c r="K184" s="11">
        <v>1.2483333333333333E-3</v>
      </c>
      <c r="L184" s="11">
        <v>1.3424999999999999E-3</v>
      </c>
      <c r="M184" s="11">
        <v>1.5450000000000001E-3</v>
      </c>
      <c r="N184" s="11">
        <v>1.2541666666666667E-3</v>
      </c>
      <c r="O184" s="11">
        <v>1.3016666666666667E-3</v>
      </c>
      <c r="P184" s="11">
        <v>1.6491666666666668E-3</v>
      </c>
      <c r="Q184" s="11">
        <v>6.6266666666666661E-3</v>
      </c>
    </row>
    <row r="185" spans="1:17" x14ac:dyDescent="0.25">
      <c r="A185" s="10" t="s">
        <v>183</v>
      </c>
      <c r="B185" s="11">
        <v>-8.0568998543355912E-3</v>
      </c>
      <c r="C185" s="11">
        <v>2.7139374375067971E-2</v>
      </c>
      <c r="D185" s="11">
        <v>3.0480634270323461E-2</v>
      </c>
      <c r="E185" s="11">
        <v>1.6546093727301762E-2</v>
      </c>
      <c r="F185" s="11">
        <v>1.2333333333333335E-3</v>
      </c>
      <c r="G185" s="11">
        <v>1.3416666666666666E-3</v>
      </c>
      <c r="H185" s="11">
        <v>1.4166666666666668E-3</v>
      </c>
      <c r="I185" s="11">
        <v>1.4075000000000001E-3</v>
      </c>
      <c r="J185" s="11">
        <v>1.2441666666666666E-3</v>
      </c>
      <c r="K185" s="11">
        <v>1.2233333333333334E-3</v>
      </c>
      <c r="L185" s="11">
        <v>1.3074999999999999E-3</v>
      </c>
      <c r="M185" s="11">
        <v>1.5083333333333335E-3</v>
      </c>
      <c r="N185" s="11">
        <v>1.245E-3</v>
      </c>
      <c r="O185" s="11">
        <v>1.2866666666666666E-3</v>
      </c>
      <c r="P185" s="11">
        <v>1.6166666666666666E-3</v>
      </c>
      <c r="Q185" s="11">
        <v>6.613333333333333E-3</v>
      </c>
    </row>
    <row r="186" spans="1:17" x14ac:dyDescent="0.25">
      <c r="A186" s="10" t="s">
        <v>184</v>
      </c>
      <c r="B186" s="11">
        <v>-4.1687510421877603E-3</v>
      </c>
      <c r="C186" s="11">
        <v>-1.2534818941504216E-2</v>
      </c>
      <c r="D186" s="11">
        <v>-6.8011559204107135E-3</v>
      </c>
      <c r="E186" s="11">
        <v>-1.886334081198017E-3</v>
      </c>
      <c r="F186" s="11">
        <v>1.2416666666666667E-3</v>
      </c>
      <c r="G186" s="11">
        <v>1.3166666666666667E-3</v>
      </c>
      <c r="H186" s="11">
        <v>1.4E-3</v>
      </c>
      <c r="I186" s="11">
        <v>1.3816666666666665E-3</v>
      </c>
      <c r="J186" s="11">
        <v>1.2333333333333335E-3</v>
      </c>
      <c r="K186" s="11">
        <v>1.2125E-3</v>
      </c>
      <c r="L186" s="11">
        <v>1.2925E-3</v>
      </c>
      <c r="M186" s="11">
        <v>1.4891666666666666E-3</v>
      </c>
      <c r="N186" s="11">
        <v>1.2341666666666666E-3</v>
      </c>
      <c r="O186" s="11">
        <v>1.2741666666666667E-3</v>
      </c>
      <c r="P186" s="11">
        <v>1.5916666666666666E-3</v>
      </c>
      <c r="Q186" s="11">
        <v>6.6166666666666665E-3</v>
      </c>
    </row>
    <row r="187" spans="1:17" x14ac:dyDescent="0.25">
      <c r="A187" s="10" t="s">
        <v>185</v>
      </c>
      <c r="B187" s="11">
        <v>-2.2146360434716359E-3</v>
      </c>
      <c r="C187" s="11">
        <v>-2.5266026185395064E-2</v>
      </c>
      <c r="D187" s="11">
        <v>-1.240745373845208E-2</v>
      </c>
      <c r="E187" s="11">
        <v>-3.344548643424728E-2</v>
      </c>
      <c r="F187" s="11">
        <v>1.075E-3</v>
      </c>
      <c r="G187" s="11">
        <v>1.1916666666666666E-3</v>
      </c>
      <c r="H187" s="11">
        <v>1.3000000000000002E-3</v>
      </c>
      <c r="I187" s="11">
        <v>1.2475000000000001E-3</v>
      </c>
      <c r="J187" s="11">
        <v>1.1341666666666668E-3</v>
      </c>
      <c r="K187" s="11">
        <v>1.1116666666666668E-3</v>
      </c>
      <c r="L187" s="11">
        <v>1.1716666666666666E-3</v>
      </c>
      <c r="M187" s="11">
        <v>1.3475E-3</v>
      </c>
      <c r="N187" s="11">
        <v>1.1333333333333334E-3</v>
      </c>
      <c r="O187" s="11">
        <v>1.1725000000000001E-3</v>
      </c>
      <c r="P187" s="11">
        <v>1.4908333333333334E-3</v>
      </c>
      <c r="Q187" s="11">
        <v>6.5274999999999994E-3</v>
      </c>
    </row>
    <row r="188" spans="1:17" x14ac:dyDescent="0.25">
      <c r="A188" s="10" t="s">
        <v>186</v>
      </c>
      <c r="B188" s="11">
        <v>2.5476120873528841E-2</v>
      </c>
      <c r="C188" s="11">
        <v>1.1685827383094516E-2</v>
      </c>
      <c r="D188" s="11">
        <v>3.3664852692813017E-2</v>
      </c>
      <c r="E188" s="11">
        <v>4.6141995882030509E-2</v>
      </c>
      <c r="F188" s="11">
        <v>1.0250000000000001E-3</v>
      </c>
      <c r="G188" s="11">
        <v>1.1333333333333334E-3</v>
      </c>
      <c r="H188" s="11">
        <v>1.2666666666666666E-3</v>
      </c>
      <c r="I188" s="11">
        <v>1.1150000000000001E-3</v>
      </c>
      <c r="J188" s="11">
        <v>1.0499999999999999E-3</v>
      </c>
      <c r="K188" s="11">
        <v>1.0150000000000001E-3</v>
      </c>
      <c r="L188" s="11">
        <v>1.0383333333333334E-3</v>
      </c>
      <c r="M188" s="11">
        <v>1.1674999999999999E-3</v>
      </c>
      <c r="N188" s="11">
        <v>1.0491666666666666E-3</v>
      </c>
      <c r="O188" s="11">
        <v>1.0833333333333335E-3</v>
      </c>
      <c r="P188" s="11">
        <v>1.3750000000000001E-3</v>
      </c>
      <c r="Q188" s="11">
        <v>6.434166666666667E-3</v>
      </c>
    </row>
    <row r="189" spans="1:17" x14ac:dyDescent="0.25">
      <c r="A189" s="10" t="s">
        <v>187</v>
      </c>
      <c r="B189" s="11">
        <v>1.808074835821526E-2</v>
      </c>
      <c r="C189" s="11">
        <v>-1.5437322150666472E-2</v>
      </c>
      <c r="D189" s="11">
        <v>-4.0347469319584675E-2</v>
      </c>
      <c r="E189" s="11">
        <v>-6.0248640688717651E-2</v>
      </c>
      <c r="F189" s="11">
        <v>1.0250000000000001E-3</v>
      </c>
      <c r="G189" s="11">
        <v>1.1250000000000001E-3</v>
      </c>
      <c r="H189" s="11">
        <v>1.2583333333333333E-3</v>
      </c>
      <c r="I189" s="11">
        <v>1.1266666666666667E-3</v>
      </c>
      <c r="J189" s="11">
        <v>1.0541666666666666E-3</v>
      </c>
      <c r="K189" s="11">
        <v>1.0316666666666666E-3</v>
      </c>
      <c r="L189" s="11">
        <v>1.0533333333333334E-3</v>
      </c>
      <c r="M189" s="11">
        <v>1.1808333333333334E-3</v>
      </c>
      <c r="N189" s="11">
        <v>1.0549999999999999E-3</v>
      </c>
      <c r="O189" s="11">
        <v>1.0833333333333335E-3</v>
      </c>
      <c r="P189" s="11">
        <v>1.3708333333333333E-3</v>
      </c>
      <c r="Q189" s="11">
        <v>6.4374999999999996E-3</v>
      </c>
    </row>
    <row r="190" spans="1:17" x14ac:dyDescent="0.25">
      <c r="A190" s="10" t="s">
        <v>188</v>
      </c>
      <c r="B190" s="11">
        <v>3.0230279020808217E-3</v>
      </c>
      <c r="C190" s="11">
        <v>6.2139437246392717E-3</v>
      </c>
      <c r="D190" s="11">
        <v>2.2279920168742907E-2</v>
      </c>
      <c r="E190" s="11">
        <v>2.6397866473805511E-2</v>
      </c>
      <c r="F190" s="11">
        <v>1.0333333333333334E-3</v>
      </c>
      <c r="G190" s="11">
        <v>1.1166666666666666E-3</v>
      </c>
      <c r="H190" s="11">
        <v>1.25E-3</v>
      </c>
      <c r="I190" s="11">
        <v>1.2099999999999999E-3</v>
      </c>
      <c r="J190" s="11">
        <v>1.1016666666666668E-3</v>
      </c>
      <c r="K190" s="11">
        <v>1.0933333333333333E-3</v>
      </c>
      <c r="L190" s="11">
        <v>1.1275E-3</v>
      </c>
      <c r="M190" s="11">
        <v>1.2600000000000001E-3</v>
      </c>
      <c r="N190" s="11">
        <v>1.1066666666666666E-3</v>
      </c>
      <c r="O190" s="11">
        <v>1.1383333333333334E-3</v>
      </c>
      <c r="P190" s="11">
        <v>1.42E-3</v>
      </c>
      <c r="Q190" s="11">
        <v>6.4925000000000009E-3</v>
      </c>
    </row>
    <row r="191" spans="1:17" x14ac:dyDescent="0.25">
      <c r="A191" s="10" t="s">
        <v>189</v>
      </c>
      <c r="B191" s="11">
        <v>-5.738332058148385E-3</v>
      </c>
      <c r="C191" s="11">
        <v>-6.0644541953430026E-2</v>
      </c>
      <c r="D191" s="11">
        <v>-6.7256669920474521E-2</v>
      </c>
      <c r="E191" s="11">
        <v>-8.2984689009263049E-2</v>
      </c>
      <c r="F191" s="11">
        <v>1.0250000000000001E-3</v>
      </c>
      <c r="G191" s="11">
        <v>1.1250000000000001E-3</v>
      </c>
      <c r="H191" s="11">
        <v>1.25E-3</v>
      </c>
      <c r="I191" s="11">
        <v>1.305E-3</v>
      </c>
      <c r="J191" s="11">
        <v>1.1408333333333333E-3</v>
      </c>
      <c r="K191" s="11">
        <v>1.1341666666666668E-3</v>
      </c>
      <c r="L191" s="11">
        <v>1.1766666666666666E-3</v>
      </c>
      <c r="M191" s="11">
        <v>1.3300000000000002E-3</v>
      </c>
      <c r="N191" s="11">
        <v>1.1491666666666666E-3</v>
      </c>
      <c r="O191" s="11">
        <v>1.2075E-3</v>
      </c>
      <c r="P191" s="11">
        <v>1.4841666666666666E-3</v>
      </c>
      <c r="Q191" s="11">
        <v>6.5583333333333335E-3</v>
      </c>
    </row>
    <row r="192" spans="1:17" x14ac:dyDescent="0.25">
      <c r="A192" s="10" t="s">
        <v>190</v>
      </c>
      <c r="B192" s="11">
        <v>-1.1048948140137059E-2</v>
      </c>
      <c r="C192" s="11">
        <v>-1.8624393972922395E-2</v>
      </c>
      <c r="D192" s="11">
        <v>-2.2864908565165057E-2</v>
      </c>
      <c r="E192" s="11">
        <v>-4.5735416533264933E-2</v>
      </c>
      <c r="F192" s="11">
        <v>1.0250000000000001E-3</v>
      </c>
      <c r="G192" s="11">
        <v>1.1833333333333333E-3</v>
      </c>
      <c r="H192" s="11">
        <v>1.2750000000000001E-3</v>
      </c>
      <c r="I192" s="11">
        <v>1.5999999999999999E-3</v>
      </c>
      <c r="J192" s="11">
        <v>1.2591666666666665E-3</v>
      </c>
      <c r="K192" s="11">
        <v>1.3408333333333334E-3</v>
      </c>
      <c r="L192" s="11">
        <v>1.449166666666667E-3</v>
      </c>
      <c r="M192" s="11">
        <v>1.6375000000000001E-3</v>
      </c>
      <c r="N192" s="11">
        <v>1.2641666666666667E-3</v>
      </c>
      <c r="O192" s="11">
        <v>1.3224999999999999E-3</v>
      </c>
      <c r="P192" s="11">
        <v>1.6841666666666665E-3</v>
      </c>
      <c r="Q192" s="11">
        <v>6.7733333333333335E-3</v>
      </c>
    </row>
    <row r="193" spans="1:17" x14ac:dyDescent="0.25">
      <c r="A193" s="10" t="s">
        <v>191</v>
      </c>
      <c r="B193" s="11">
        <v>2.0672867124778491E-2</v>
      </c>
      <c r="C193" s="11">
        <v>2.1339313534167577E-2</v>
      </c>
      <c r="D193" s="11">
        <v>4.2739164200620301E-2</v>
      </c>
      <c r="E193" s="11">
        <v>5.9267584841723911E-2</v>
      </c>
      <c r="F193" s="11">
        <v>1.0250000000000001E-3</v>
      </c>
      <c r="G193" s="11">
        <v>1.2833333333333334E-3</v>
      </c>
      <c r="H193" s="11">
        <v>1.3750000000000001E-3</v>
      </c>
      <c r="I193" s="11">
        <v>1.7183333333333332E-3</v>
      </c>
      <c r="J193" s="11">
        <v>1.3133333333333332E-3</v>
      </c>
      <c r="K193" s="11">
        <v>1.41E-3</v>
      </c>
      <c r="L193" s="11">
        <v>1.5608333333333333E-3</v>
      </c>
      <c r="M193" s="11">
        <v>1.7991666666666666E-3</v>
      </c>
      <c r="N193" s="11">
        <v>1.3108333333333333E-3</v>
      </c>
      <c r="O193" s="11">
        <v>1.3891666666666668E-3</v>
      </c>
      <c r="P193" s="11">
        <v>1.8016666666666667E-3</v>
      </c>
      <c r="Q193" s="11">
        <v>6.9008333333333343E-3</v>
      </c>
    </row>
    <row r="194" spans="1:17" x14ac:dyDescent="0.25">
      <c r="A194" s="10" t="s">
        <v>192</v>
      </c>
      <c r="B194" s="11">
        <v>2.8022026136720751E-2</v>
      </c>
      <c r="C194" s="11">
        <v>-1.850506380433601E-2</v>
      </c>
      <c r="D194" s="11">
        <v>-2.2927629497296082E-3</v>
      </c>
      <c r="E194" s="11">
        <v>-2.4246167490181266E-2</v>
      </c>
      <c r="F194" s="11">
        <v>1.0333333333333334E-3</v>
      </c>
      <c r="G194" s="11">
        <v>1.25E-3</v>
      </c>
      <c r="H194" s="11">
        <v>1.3916666666666667E-3</v>
      </c>
      <c r="I194" s="11">
        <v>1.6583333333333335E-3</v>
      </c>
      <c r="J194" s="11">
        <v>1.2466666666666665E-3</v>
      </c>
      <c r="K194" s="11">
        <v>1.3691666666666668E-3</v>
      </c>
      <c r="L194" s="11">
        <v>1.5175E-3</v>
      </c>
      <c r="M194" s="11">
        <v>1.7591666666666669E-3</v>
      </c>
      <c r="N194" s="11">
        <v>1.25E-3</v>
      </c>
      <c r="O194" s="11">
        <v>1.3291666666666666E-3</v>
      </c>
      <c r="P194" s="11">
        <v>1.7533333333333333E-3</v>
      </c>
      <c r="Q194" s="11">
        <v>6.9008333333333343E-3</v>
      </c>
    </row>
    <row r="195" spans="1:17" x14ac:dyDescent="0.25">
      <c r="A195" s="10" t="s">
        <v>193</v>
      </c>
      <c r="B195" s="11">
        <v>7.3156188462366696E-3</v>
      </c>
      <c r="C195" s="11">
        <v>3.8464527158287243E-2</v>
      </c>
      <c r="D195" s="11">
        <v>5.6938494715990948E-3</v>
      </c>
      <c r="E195" s="11">
        <v>-6.3785240127894275E-3</v>
      </c>
      <c r="F195" s="11">
        <v>1.0250000000000001E-3</v>
      </c>
      <c r="G195" s="11">
        <v>1.2416666666666667E-3</v>
      </c>
      <c r="H195" s="11">
        <v>1.3666666666666664E-3</v>
      </c>
      <c r="I195" s="11">
        <v>1.6866666666666668E-3</v>
      </c>
      <c r="J195" s="11">
        <v>1.2208333333333335E-3</v>
      </c>
      <c r="K195" s="11">
        <v>1.3875000000000001E-3</v>
      </c>
      <c r="L195" s="11">
        <v>1.5508333333333335E-3</v>
      </c>
      <c r="M195" s="11">
        <v>1.8024999999999996E-3</v>
      </c>
      <c r="N195" s="11">
        <v>1.2208333333333335E-3</v>
      </c>
      <c r="O195" s="11">
        <v>1.2941666666666666E-3</v>
      </c>
      <c r="P195" s="11">
        <v>1.7749999999999999E-3</v>
      </c>
      <c r="Q195" s="11">
        <v>6.9424999999999999E-3</v>
      </c>
    </row>
    <row r="196" spans="1:17" x14ac:dyDescent="0.25">
      <c r="A196" s="10" t="s">
        <v>194</v>
      </c>
      <c r="B196" s="11">
        <v>3.8461347142011597E-2</v>
      </c>
      <c r="C196" s="11">
        <v>5.1828163644671108E-3</v>
      </c>
      <c r="D196" s="11">
        <v>1.1599757428744624E-2</v>
      </c>
      <c r="E196" s="11">
        <v>1.1564848088859729E-2</v>
      </c>
      <c r="F196" s="11">
        <v>1.0250000000000001E-3</v>
      </c>
      <c r="G196" s="11">
        <v>1.2333333333333335E-3</v>
      </c>
      <c r="H196" s="11">
        <v>1.3666666666666664E-3</v>
      </c>
      <c r="I196" s="11">
        <v>1.7291666666666668E-3</v>
      </c>
      <c r="J196" s="11">
        <v>1.2375000000000001E-3</v>
      </c>
      <c r="K196" s="11">
        <v>1.4241666666666667E-3</v>
      </c>
      <c r="L196" s="11">
        <v>1.5908333333333332E-3</v>
      </c>
      <c r="M196" s="11">
        <v>1.8508333333333335E-3</v>
      </c>
      <c r="N196" s="11">
        <v>1.2408333333333334E-3</v>
      </c>
      <c r="O196" s="11">
        <v>1.3016666666666667E-3</v>
      </c>
      <c r="P196" s="11">
        <v>1.8400000000000003E-3</v>
      </c>
      <c r="Q196" s="11">
        <v>7.0108333333333333E-3</v>
      </c>
    </row>
    <row r="197" spans="1:17" x14ac:dyDescent="0.25">
      <c r="A197" s="10" t="s">
        <v>195</v>
      </c>
      <c r="B197" s="11">
        <v>2.2254688285871689E-2</v>
      </c>
      <c r="C197" s="11">
        <v>2.2144558676028075E-2</v>
      </c>
      <c r="D197" s="11">
        <v>-4.6759001707303042E-3</v>
      </c>
      <c r="E197" s="11">
        <v>1.4468414933471186E-2</v>
      </c>
      <c r="F197" s="11">
        <v>1.0250000000000001E-3</v>
      </c>
      <c r="G197" s="11">
        <v>1.1916666666666666E-3</v>
      </c>
      <c r="H197" s="11">
        <v>1.3583333333333331E-3</v>
      </c>
      <c r="I197" s="11">
        <v>1.6925000000000002E-3</v>
      </c>
      <c r="J197" s="11">
        <v>1.2225000000000001E-3</v>
      </c>
      <c r="K197" s="11">
        <v>1.3983333333333332E-3</v>
      </c>
      <c r="L197" s="11">
        <v>1.5491666666666666E-3</v>
      </c>
      <c r="M197" s="11">
        <v>1.8183333333333333E-3</v>
      </c>
      <c r="N197" s="11">
        <v>1.2266666666666667E-3</v>
      </c>
      <c r="O197" s="11">
        <v>1.2766666666666666E-3</v>
      </c>
      <c r="P197" s="11">
        <v>1.8291666666666664E-3</v>
      </c>
      <c r="Q197" s="11">
        <v>7.0091666666666661E-3</v>
      </c>
    </row>
    <row r="198" spans="1:17" x14ac:dyDescent="0.25">
      <c r="A198" s="10" t="s">
        <v>196</v>
      </c>
      <c r="B198" s="11">
        <v>6.6172783970835522E-2</v>
      </c>
      <c r="C198" s="11">
        <v>6.6964627957252956E-2</v>
      </c>
      <c r="D198" s="11">
        <v>3.9245257563565887E-2</v>
      </c>
      <c r="E198" s="11">
        <v>3.7883611358716339E-2</v>
      </c>
      <c r="F198" s="11">
        <v>1.0250000000000001E-3</v>
      </c>
      <c r="G198" s="11">
        <v>1.1583333333333333E-3</v>
      </c>
      <c r="H198" s="11">
        <v>1.3500000000000003E-3</v>
      </c>
      <c r="I198" s="11">
        <v>1.7258333333333336E-3</v>
      </c>
      <c r="J198" s="11">
        <v>1.2199999999999999E-3</v>
      </c>
      <c r="K198" s="11">
        <v>1.4083333333333333E-3</v>
      </c>
      <c r="L198" s="11">
        <v>1.5883333333333333E-3</v>
      </c>
      <c r="M198" s="11">
        <v>1.8808333333333333E-3</v>
      </c>
      <c r="N198" s="11">
        <v>1.2175E-3</v>
      </c>
      <c r="O198" s="11">
        <v>1.2775E-3</v>
      </c>
      <c r="P198" s="11">
        <v>1.8466666666666668E-3</v>
      </c>
      <c r="Q198" s="11">
        <v>7.0358333333333323E-3</v>
      </c>
    </row>
    <row r="199" spans="1:17" x14ac:dyDescent="0.25">
      <c r="A199" s="10" t="s">
        <v>197</v>
      </c>
      <c r="B199" s="11">
        <v>2.3746006073844323E-2</v>
      </c>
      <c r="C199" s="11">
        <v>-5.6941879764615955E-3</v>
      </c>
      <c r="D199" s="11">
        <v>1.9843661619204514E-3</v>
      </c>
      <c r="E199" s="11">
        <v>2.6072020121464944E-2</v>
      </c>
      <c r="F199" s="11">
        <v>1.0333333333333334E-3</v>
      </c>
      <c r="G199" s="11">
        <v>1.15E-3</v>
      </c>
      <c r="H199" s="11">
        <v>1.3333333333333333E-3</v>
      </c>
      <c r="I199" s="11">
        <v>1.6916666666666666E-3</v>
      </c>
      <c r="J199" s="11">
        <v>1.2175E-3</v>
      </c>
      <c r="K199" s="11">
        <v>1.3941666666666668E-3</v>
      </c>
      <c r="L199" s="11">
        <v>1.5533333333333334E-3</v>
      </c>
      <c r="M199" s="11">
        <v>1.8041666666666666E-3</v>
      </c>
      <c r="N199" s="11">
        <v>1.2183333333333332E-3</v>
      </c>
      <c r="O199" s="11">
        <v>1.2825E-3</v>
      </c>
      <c r="P199" s="11">
        <v>1.8400000000000003E-3</v>
      </c>
      <c r="Q199" s="11">
        <v>7.0366666666666676E-3</v>
      </c>
    </row>
    <row r="200" spans="1:17" x14ac:dyDescent="0.25">
      <c r="A200" s="10" t="s">
        <v>198</v>
      </c>
      <c r="B200" s="11">
        <v>8.1910911151560628E-3</v>
      </c>
      <c r="C200" s="11">
        <v>-1.1139253312329027E-2</v>
      </c>
      <c r="D200" s="11">
        <v>-3.5397984397123744E-2</v>
      </c>
      <c r="E200" s="11">
        <v>-2.7756187970823774E-2</v>
      </c>
      <c r="F200" s="11">
        <v>1.0333333333333334E-3</v>
      </c>
      <c r="G200" s="11">
        <v>1.1583333333333333E-3</v>
      </c>
      <c r="H200" s="11">
        <v>1.325E-3</v>
      </c>
      <c r="I200" s="11">
        <v>1.7466666666666665E-3</v>
      </c>
      <c r="J200" s="11">
        <v>1.2199999999999999E-3</v>
      </c>
      <c r="K200" s="11">
        <v>1.4499999999999999E-3</v>
      </c>
      <c r="L200" s="11">
        <v>1.6183333333333334E-3</v>
      </c>
      <c r="M200" s="11">
        <v>1.8766666666666665E-3</v>
      </c>
      <c r="N200" s="11">
        <v>1.2125E-3</v>
      </c>
      <c r="O200" s="11">
        <v>1.2900000000000001E-3</v>
      </c>
      <c r="P200" s="11">
        <v>1.8983333333333335E-3</v>
      </c>
      <c r="Q200" s="11">
        <v>7.0999999999999995E-3</v>
      </c>
    </row>
    <row r="201" spans="1:17" x14ac:dyDescent="0.25">
      <c r="A201" s="10" t="s">
        <v>199</v>
      </c>
      <c r="B201" s="11">
        <v>-1.9055202602578734E-2</v>
      </c>
      <c r="C201" s="11">
        <v>-1.5846627156668718E-2</v>
      </c>
      <c r="D201" s="11">
        <v>3.7128712871288263E-3</v>
      </c>
      <c r="E201" s="11">
        <v>1.1314895383338222E-2</v>
      </c>
      <c r="F201" s="11">
        <v>1.0250000000000001E-3</v>
      </c>
      <c r="G201" s="11">
        <v>1.1583333333333333E-3</v>
      </c>
      <c r="H201" s="11">
        <v>1.325E-3</v>
      </c>
      <c r="I201" s="11">
        <v>1.7958333333333333E-3</v>
      </c>
      <c r="J201" s="11">
        <v>1.2258333333333333E-3</v>
      </c>
      <c r="K201" s="11">
        <v>1.4833333333333332E-3</v>
      </c>
      <c r="L201" s="11">
        <v>1.6558333333333336E-3</v>
      </c>
      <c r="M201" s="11">
        <v>1.9058333333333332E-3</v>
      </c>
      <c r="N201" s="11">
        <v>1.2258333333333333E-3</v>
      </c>
      <c r="O201" s="11">
        <v>1.3033333333333334E-3</v>
      </c>
      <c r="P201" s="11">
        <v>1.9333333333333331E-3</v>
      </c>
      <c r="Q201" s="11">
        <v>7.1374999999999989E-3</v>
      </c>
    </row>
    <row r="202" spans="1:17" x14ac:dyDescent="0.25">
      <c r="A202" s="10" t="s">
        <v>200</v>
      </c>
      <c r="B202" s="11">
        <v>2.5090181404615955E-2</v>
      </c>
      <c r="C202" s="11">
        <v>-4.8925371915247415E-2</v>
      </c>
      <c r="D202" s="11">
        <v>-5.3307716571559749E-2</v>
      </c>
      <c r="E202" s="11">
        <v>-7.6159494094218726E-3</v>
      </c>
      <c r="F202" s="11">
        <v>1.0416666666666667E-3</v>
      </c>
      <c r="G202" s="11">
        <v>1.15E-3</v>
      </c>
      <c r="H202" s="11">
        <v>1.325E-3</v>
      </c>
      <c r="I202" s="11">
        <v>1.8033333333333337E-3</v>
      </c>
      <c r="J202" s="11">
        <v>1.2341666666666666E-3</v>
      </c>
      <c r="K202" s="11">
        <v>1.4874999999999999E-3</v>
      </c>
      <c r="L202" s="11">
        <v>1.6575000000000001E-3</v>
      </c>
      <c r="M202" s="11">
        <v>1.9050000000000002E-3</v>
      </c>
      <c r="N202" s="11">
        <v>1.24E-3</v>
      </c>
      <c r="O202" s="11">
        <v>1.3266666666666667E-3</v>
      </c>
      <c r="P202" s="11">
        <v>1.944166666666667E-3</v>
      </c>
      <c r="Q202" s="11">
        <v>7.1466666666666666E-3</v>
      </c>
    </row>
    <row r="203" spans="1:17" x14ac:dyDescent="0.25">
      <c r="A203" s="10" t="s">
        <v>201</v>
      </c>
      <c r="B203" s="11">
        <v>5.706990078298043E-2</v>
      </c>
      <c r="C203" s="11">
        <v>4.1206850111839333E-2</v>
      </c>
      <c r="D203" s="11">
        <v>1.5503523757597806E-2</v>
      </c>
      <c r="E203" s="11">
        <v>6.3386538402622455E-2</v>
      </c>
      <c r="F203" s="11">
        <v>1.0416666666666667E-3</v>
      </c>
      <c r="G203" s="11">
        <v>1.15E-3</v>
      </c>
      <c r="H203" s="11">
        <v>1.325E-3</v>
      </c>
      <c r="I203" s="11">
        <v>1.983333333333333E-3</v>
      </c>
      <c r="J203" s="11">
        <v>1.3783333333333332E-3</v>
      </c>
      <c r="K203" s="11">
        <v>1.6883333333333331E-3</v>
      </c>
      <c r="L203" s="11">
        <v>1.8725E-3</v>
      </c>
      <c r="M203" s="11">
        <v>2.0458333333333335E-3</v>
      </c>
      <c r="N203" s="11">
        <v>1.3741666666666668E-3</v>
      </c>
      <c r="O203" s="11">
        <v>1.4933333333333335E-3</v>
      </c>
      <c r="P203" s="11">
        <v>2.1449999999999998E-3</v>
      </c>
      <c r="Q203" s="11">
        <v>7.3525000000000005E-3</v>
      </c>
    </row>
    <row r="204" spans="1:17" x14ac:dyDescent="0.25">
      <c r="A204" s="10" t="s">
        <v>202</v>
      </c>
      <c r="B204" s="11">
        <v>-2.8718963569499992E-2</v>
      </c>
      <c r="C204" s="11">
        <v>3.4495945292377685E-2</v>
      </c>
      <c r="D204" s="11">
        <v>3.87462404613357E-2</v>
      </c>
      <c r="E204" s="11">
        <v>0.11123595505617964</v>
      </c>
      <c r="F204" s="11">
        <v>1.0499999999999999E-3</v>
      </c>
      <c r="G204" s="11">
        <v>1.2083333333333332E-3</v>
      </c>
      <c r="H204" s="11">
        <v>1.4166666666666668E-3</v>
      </c>
      <c r="I204" s="11">
        <v>2.0991666666666667E-3</v>
      </c>
      <c r="J204" s="11">
        <v>1.4891666666666666E-3</v>
      </c>
      <c r="K204" s="11">
        <v>1.7916666666666665E-3</v>
      </c>
      <c r="L204" s="11">
        <v>1.9625000000000003E-3</v>
      </c>
      <c r="M204" s="11">
        <v>2.1166666666666664E-3</v>
      </c>
      <c r="N204" s="11">
        <v>1.4874999999999999E-3</v>
      </c>
      <c r="O204" s="11">
        <v>1.6116666666666666E-3</v>
      </c>
      <c r="P204" s="11">
        <v>2.2575E-3</v>
      </c>
      <c r="Q204" s="11">
        <v>7.4658333333333339E-3</v>
      </c>
    </row>
    <row r="205" spans="1:17" x14ac:dyDescent="0.25">
      <c r="A205" s="10" t="s">
        <v>203</v>
      </c>
      <c r="B205" s="11">
        <v>-2.2519457058365138E-3</v>
      </c>
      <c r="C205" s="11">
        <v>-8.7414108028182509E-3</v>
      </c>
      <c r="D205" s="11">
        <v>-2.6800798280920118E-2</v>
      </c>
      <c r="E205" s="11">
        <v>3.5000388893209923E-2</v>
      </c>
      <c r="F205" s="11">
        <v>1.2583333333333333E-3</v>
      </c>
      <c r="G205" s="11">
        <v>1.3833333333333334E-3</v>
      </c>
      <c r="H205" s="11">
        <v>1.5000000000000002E-3</v>
      </c>
      <c r="I205" s="11">
        <v>2.0508333333333333E-3</v>
      </c>
      <c r="J205" s="11">
        <v>1.5275E-3</v>
      </c>
      <c r="K205" s="11">
        <v>1.75E-3</v>
      </c>
      <c r="L205" s="11">
        <v>1.915E-3</v>
      </c>
      <c r="M205" s="11">
        <v>2.0599999999999998E-3</v>
      </c>
      <c r="N205" s="11">
        <v>1.5275E-3</v>
      </c>
      <c r="O205" s="11">
        <v>1.6058333333333332E-3</v>
      </c>
      <c r="P205" s="11">
        <v>2.2074999999999998E-3</v>
      </c>
      <c r="Q205" s="11">
        <v>7.4241666666666666E-3</v>
      </c>
    </row>
    <row r="206" spans="1:17" x14ac:dyDescent="0.25">
      <c r="A206" s="10" t="s">
        <v>204</v>
      </c>
      <c r="B206" s="11">
        <v>2.7898690014096002E-2</v>
      </c>
      <c r="C206" s="11">
        <v>9.6524517761301068E-2</v>
      </c>
      <c r="D206" s="11">
        <v>0.11716310382642638</v>
      </c>
      <c r="E206" s="11">
        <v>0.14422233911976165</v>
      </c>
      <c r="F206" s="11">
        <v>1.25E-3</v>
      </c>
      <c r="G206" s="11">
        <v>1.3833333333333334E-3</v>
      </c>
      <c r="H206" s="11">
        <v>1.5000000000000002E-3</v>
      </c>
      <c r="I206" s="11">
        <v>2.1658333333333334E-3</v>
      </c>
      <c r="J206" s="11">
        <v>1.5325E-3</v>
      </c>
      <c r="K206" s="11">
        <v>1.825E-3</v>
      </c>
      <c r="L206" s="11">
        <v>2.0366666666666667E-3</v>
      </c>
      <c r="M206" s="11">
        <v>2.1883333333333334E-3</v>
      </c>
      <c r="N206" s="11">
        <v>1.5316666666666666E-3</v>
      </c>
      <c r="O206" s="11">
        <v>1.6166666666666666E-3</v>
      </c>
      <c r="P206" s="11">
        <v>2.2683333333333336E-3</v>
      </c>
      <c r="Q206" s="11">
        <v>7.4875000000000002E-3</v>
      </c>
    </row>
    <row r="207" spans="1:17" x14ac:dyDescent="0.25">
      <c r="A207" s="10" t="s">
        <v>205</v>
      </c>
      <c r="B207" s="11">
        <v>-5.7443899300249214E-2</v>
      </c>
      <c r="C207" s="11">
        <v>-7.190656081515881E-2</v>
      </c>
      <c r="D207" s="11">
        <v>-4.5749073397483797E-2</v>
      </c>
      <c r="E207" s="11">
        <v>-6.1856234333439258E-2</v>
      </c>
      <c r="F207" s="11">
        <v>1.2416666666666667E-3</v>
      </c>
      <c r="G207" s="11">
        <v>1.3750000000000001E-3</v>
      </c>
      <c r="H207" s="11">
        <v>1.5000000000000002E-3</v>
      </c>
      <c r="I207" s="11">
        <v>2.2524999999999997E-3</v>
      </c>
      <c r="J207" s="11">
        <v>1.5424999999999998E-3</v>
      </c>
      <c r="K207" s="11">
        <v>1.8975000000000001E-3</v>
      </c>
      <c r="L207" s="11">
        <v>2.1141666666666665E-3</v>
      </c>
      <c r="M207" s="11">
        <v>2.3083333333333332E-3</v>
      </c>
      <c r="N207" s="11">
        <v>1.5466666666666667E-3</v>
      </c>
      <c r="O207" s="11">
        <v>1.6491666666666668E-3</v>
      </c>
      <c r="P207" s="11">
        <v>2.345833333333333E-3</v>
      </c>
      <c r="Q207" s="11">
        <v>7.5425000000000006E-3</v>
      </c>
    </row>
    <row r="208" spans="1:17" x14ac:dyDescent="0.25">
      <c r="A208" s="10" t="s">
        <v>206</v>
      </c>
      <c r="B208" s="11">
        <v>8.2687647199370471E-3</v>
      </c>
      <c r="C208" s="11">
        <v>-7.1276912962411282E-3</v>
      </c>
      <c r="D208" s="11">
        <v>3.8241358790668964E-2</v>
      </c>
      <c r="E208" s="11">
        <v>1.6369915758523427E-2</v>
      </c>
      <c r="F208" s="11">
        <v>1.2416666666666667E-3</v>
      </c>
      <c r="G208" s="11">
        <v>1.3750000000000001E-3</v>
      </c>
      <c r="H208" s="11">
        <v>1.5083333333333335E-3</v>
      </c>
      <c r="I208" s="11">
        <v>2.2400000000000002E-3</v>
      </c>
      <c r="J208" s="11">
        <v>1.5624999999999999E-3</v>
      </c>
      <c r="K208" s="11">
        <v>1.8924999999999999E-3</v>
      </c>
      <c r="L208" s="11">
        <v>2.0841666666666665E-3</v>
      </c>
      <c r="M208" s="11">
        <v>2.2566666666666668E-3</v>
      </c>
      <c r="N208" s="11">
        <v>1.5783333333333333E-3</v>
      </c>
      <c r="O208" s="11">
        <v>1.6699999999999998E-3</v>
      </c>
      <c r="P208" s="11">
        <v>2.3591666666666665E-3</v>
      </c>
      <c r="Q208" s="11">
        <v>7.5425000000000006E-3</v>
      </c>
    </row>
    <row r="209" spans="1:17" x14ac:dyDescent="0.25">
      <c r="A209" s="10" t="s">
        <v>207</v>
      </c>
      <c r="B209" s="11">
        <v>2.4357422751085399E-2</v>
      </c>
      <c r="C209" s="11">
        <v>4.2479746134668789E-2</v>
      </c>
      <c r="D209" s="11">
        <v>5.9243527597958041E-2</v>
      </c>
      <c r="E209" s="11">
        <v>5.5792168432653496E-3</v>
      </c>
      <c r="F209" s="11">
        <v>1.2333333333333335E-3</v>
      </c>
      <c r="G209" s="11">
        <v>1.3750000000000001E-3</v>
      </c>
      <c r="H209" s="11">
        <v>1.5166666666666668E-3</v>
      </c>
      <c r="I209" s="11">
        <v>2.1766666666666666E-3</v>
      </c>
      <c r="J209" s="11">
        <v>1.5608333333333333E-3</v>
      </c>
      <c r="K209" s="11">
        <v>1.8266666666666668E-3</v>
      </c>
      <c r="L209" s="11">
        <v>2.0300000000000001E-3</v>
      </c>
      <c r="M209" s="11">
        <v>2.2124999999999996E-3</v>
      </c>
      <c r="N209" s="11">
        <v>1.5591666666666668E-3</v>
      </c>
      <c r="O209" s="11">
        <v>1.6558333333333336E-3</v>
      </c>
      <c r="P209" s="11">
        <v>2.3283333333333333E-3</v>
      </c>
      <c r="Q209" s="11">
        <v>7.5108333333333338E-3</v>
      </c>
    </row>
    <row r="210" spans="1:17" x14ac:dyDescent="0.25">
      <c r="A210" s="10" t="s">
        <v>208</v>
      </c>
      <c r="B210" s="11">
        <v>-4.7300367662246462E-2</v>
      </c>
      <c r="C210" s="11">
        <v>8.4725466580124233E-3</v>
      </c>
      <c r="D210" s="11">
        <v>2.1736121306180536E-2</v>
      </c>
      <c r="E210" s="11">
        <v>4.2354015640161226E-3</v>
      </c>
      <c r="F210" s="11">
        <v>1.25E-3</v>
      </c>
      <c r="G210" s="11">
        <v>1.3750000000000001E-3</v>
      </c>
      <c r="H210" s="11">
        <v>1.5166666666666668E-3</v>
      </c>
      <c r="I210" s="11">
        <v>2.2425000000000001E-3</v>
      </c>
      <c r="J210" s="11">
        <v>1.5725000000000001E-3</v>
      </c>
      <c r="K210" s="11">
        <v>1.8749999999999999E-3</v>
      </c>
      <c r="L210" s="11">
        <v>2.1099999999999999E-3</v>
      </c>
      <c r="M210" s="11">
        <v>2.2975000000000001E-3</v>
      </c>
      <c r="N210" s="11">
        <v>1.5725000000000001E-3</v>
      </c>
      <c r="O210" s="11">
        <v>1.6775E-3</v>
      </c>
      <c r="P210" s="11">
        <v>2.3833333333333332E-3</v>
      </c>
      <c r="Q210" s="11">
        <v>7.5608333333333335E-3</v>
      </c>
    </row>
    <row r="211" spans="1:17" x14ac:dyDescent="0.25">
      <c r="A211" s="10" t="s">
        <v>209</v>
      </c>
      <c r="B211" s="11">
        <v>-3.3700459630561015E-2</v>
      </c>
      <c r="C211" s="11">
        <v>-5.3684761209851738E-2</v>
      </c>
      <c r="D211" s="11">
        <v>-9.9426488277289046E-2</v>
      </c>
      <c r="E211" s="11">
        <v>-6.9845167451060577E-2</v>
      </c>
      <c r="F211" s="11">
        <v>1.2416666666666667E-3</v>
      </c>
      <c r="G211" s="11">
        <v>1.3750000000000001E-3</v>
      </c>
      <c r="H211" s="11">
        <v>1.5166666666666668E-3</v>
      </c>
      <c r="I211" s="11">
        <v>2.1691666666666669E-3</v>
      </c>
      <c r="J211" s="11">
        <v>1.5424999999999998E-3</v>
      </c>
      <c r="K211" s="11">
        <v>1.8124999999999999E-3</v>
      </c>
      <c r="L211" s="11">
        <v>2.0349999999999999E-3</v>
      </c>
      <c r="M211" s="11">
        <v>2.2133333333333332E-3</v>
      </c>
      <c r="N211" s="11">
        <v>1.5483333333333332E-3</v>
      </c>
      <c r="O211" s="11">
        <v>1.6533333333333333E-3</v>
      </c>
      <c r="P211" s="11">
        <v>2.3375000000000002E-3</v>
      </c>
      <c r="Q211" s="11">
        <v>7.5133333333333337E-3</v>
      </c>
    </row>
    <row r="212" spans="1:17" x14ac:dyDescent="0.25">
      <c r="A212" s="10" t="s">
        <v>210</v>
      </c>
      <c r="B212" s="11">
        <v>-8.1311028144743901E-3</v>
      </c>
      <c r="C212" s="11">
        <v>-3.6472085833788033E-2</v>
      </c>
      <c r="D212" s="11">
        <v>-3.7649064585536497E-2</v>
      </c>
      <c r="E212" s="11">
        <v>-5.2186453521057961E-2</v>
      </c>
      <c r="F212" s="11">
        <v>1.2416666666666667E-3</v>
      </c>
      <c r="G212" s="11">
        <v>1.3750000000000001E-3</v>
      </c>
      <c r="H212" s="11">
        <v>1.5166666666666668E-3</v>
      </c>
      <c r="I212" s="11">
        <v>2.075E-3</v>
      </c>
      <c r="J212" s="11">
        <v>1.5350000000000001E-3</v>
      </c>
      <c r="K212" s="11">
        <v>1.7474999999999999E-3</v>
      </c>
      <c r="L212" s="11">
        <v>1.9483333333333334E-3</v>
      </c>
      <c r="M212" s="11">
        <v>2.1241666666666666E-3</v>
      </c>
      <c r="N212" s="11">
        <v>1.5399999999999999E-3</v>
      </c>
      <c r="O212" s="11">
        <v>1.6416666666666665E-3</v>
      </c>
      <c r="P212" s="11">
        <v>2.2916666666666667E-3</v>
      </c>
      <c r="Q212" s="11">
        <v>7.4641666666666676E-3</v>
      </c>
    </row>
    <row r="213" spans="1:17" x14ac:dyDescent="0.25">
      <c r="A213" s="10" t="s">
        <v>211</v>
      </c>
      <c r="B213" s="11">
        <v>9.944081507084826E-3</v>
      </c>
      <c r="C213" s="11">
        <v>1.3343550177033378E-2</v>
      </c>
      <c r="D213" s="11">
        <v>4.465465707288651E-2</v>
      </c>
      <c r="E213" s="11">
        <v>5.3448009077780127E-2</v>
      </c>
      <c r="F213" s="11">
        <v>1.25E-3</v>
      </c>
      <c r="G213" s="11">
        <v>1.3750000000000001E-3</v>
      </c>
      <c r="H213" s="11">
        <v>1.5083333333333335E-3</v>
      </c>
      <c r="I213" s="11">
        <v>1.963333333333333E-3</v>
      </c>
      <c r="J213" s="11">
        <v>1.5250000000000001E-3</v>
      </c>
      <c r="K213" s="11">
        <v>1.6825E-3</v>
      </c>
      <c r="L213" s="11">
        <v>1.8683333333333332E-3</v>
      </c>
      <c r="M213" s="11">
        <v>2.0483333333333334E-3</v>
      </c>
      <c r="N213" s="11">
        <v>1.5300000000000001E-3</v>
      </c>
      <c r="O213" s="11">
        <v>1.6199999999999999E-3</v>
      </c>
      <c r="P213" s="11">
        <v>2.2133333333333332E-3</v>
      </c>
      <c r="Q213" s="11">
        <v>7.3716666666666661E-3</v>
      </c>
    </row>
    <row r="214" spans="1:17" x14ac:dyDescent="0.25">
      <c r="A214" s="10" t="s">
        <v>212</v>
      </c>
      <c r="B214" s="11">
        <v>7.0419380560308008E-3</v>
      </c>
      <c r="C214" s="11">
        <v>2.2640497360843538E-2</v>
      </c>
      <c r="D214" s="11">
        <v>8.515616497986607E-3</v>
      </c>
      <c r="E214" s="11">
        <v>6.4873863177349897E-3</v>
      </c>
      <c r="F214" s="11">
        <v>1.2833333333333334E-3</v>
      </c>
      <c r="G214" s="11">
        <v>1.3750000000000001E-3</v>
      </c>
      <c r="H214" s="11">
        <v>1.5083333333333335E-3</v>
      </c>
      <c r="I214" s="11">
        <v>1.8708333333333335E-3</v>
      </c>
      <c r="J214" s="11">
        <v>1.4916666666666665E-3</v>
      </c>
      <c r="K214" s="11">
        <v>1.6275000000000003E-3</v>
      </c>
      <c r="L214" s="11">
        <v>1.7733333333333334E-3</v>
      </c>
      <c r="M214" s="11">
        <v>1.9291666666666667E-3</v>
      </c>
      <c r="N214" s="11">
        <v>1.5166666666666668E-3</v>
      </c>
      <c r="O214" s="11">
        <v>1.5983333333333333E-3</v>
      </c>
      <c r="P214" s="11">
        <v>2.0024999999999999E-3</v>
      </c>
      <c r="Q214" s="11">
        <v>7.0633333333333338E-3</v>
      </c>
    </row>
    <row r="215" spans="1:17" x14ac:dyDescent="0.25">
      <c r="A215" s="10" t="s">
        <v>213</v>
      </c>
      <c r="B215" s="11">
        <v>-0.12150031582786931</v>
      </c>
      <c r="C215" s="11">
        <v>-0.18310962172400599</v>
      </c>
      <c r="D215" s="11">
        <v>-0.19643098006420454</v>
      </c>
      <c r="E215" s="11">
        <v>-0.21112286718474471</v>
      </c>
      <c r="F215" s="11">
        <v>1.2666666666666666E-3</v>
      </c>
      <c r="G215" s="11">
        <v>1.4E-3</v>
      </c>
      <c r="H215" s="11">
        <v>1.5166666666666668E-3</v>
      </c>
      <c r="I215" s="11">
        <v>1.9141666666666667E-3</v>
      </c>
      <c r="J215" s="11">
        <v>1.5441666666666668E-3</v>
      </c>
      <c r="K215" s="11">
        <v>1.6749999999999996E-3</v>
      </c>
      <c r="L215" s="11">
        <v>1.8033333333333337E-3</v>
      </c>
      <c r="M215" s="11">
        <v>1.9483333333333334E-3</v>
      </c>
      <c r="N215" s="11">
        <v>1.5841666666666667E-3</v>
      </c>
      <c r="O215" s="11">
        <v>1.6716666666666666E-3</v>
      </c>
      <c r="P215" s="11">
        <v>2.0433333333333332E-3</v>
      </c>
      <c r="Q215" s="11">
        <v>7.0958333333333333E-3</v>
      </c>
    </row>
    <row r="216" spans="1:17" x14ac:dyDescent="0.25">
      <c r="A216" s="10" t="s">
        <v>214</v>
      </c>
      <c r="B216" s="11">
        <v>2.1899621250481033E-2</v>
      </c>
      <c r="C216" s="11">
        <v>9.371056562548763E-2</v>
      </c>
      <c r="D216" s="11">
        <v>6.9106168694922365E-2</v>
      </c>
      <c r="E216" s="11">
        <v>7.2594693757997181E-2</v>
      </c>
      <c r="F216" s="11">
        <v>1.2583333333333333E-3</v>
      </c>
      <c r="G216" s="11">
        <v>1.4250000000000001E-3</v>
      </c>
      <c r="H216" s="11">
        <v>1.5416666666666669E-3</v>
      </c>
      <c r="I216" s="11">
        <v>1.8191666666666666E-3</v>
      </c>
      <c r="J216" s="11">
        <v>1.5366666666666669E-3</v>
      </c>
      <c r="K216" s="11">
        <v>1.6166666666666666E-3</v>
      </c>
      <c r="L216" s="11">
        <v>1.7066666666666669E-3</v>
      </c>
      <c r="M216" s="11">
        <v>1.8408333333333334E-3</v>
      </c>
      <c r="N216" s="11">
        <v>1.5799999999999998E-3</v>
      </c>
      <c r="O216" s="11">
        <v>1.6683333333333331E-3</v>
      </c>
      <c r="P216" s="11">
        <v>2.0024999999999999E-3</v>
      </c>
      <c r="Q216" s="11">
        <v>7.045E-3</v>
      </c>
    </row>
    <row r="217" spans="1:17" x14ac:dyDescent="0.25">
      <c r="A217" s="10" t="s">
        <v>215</v>
      </c>
      <c r="B217" s="11">
        <v>-2.9472244657288541E-2</v>
      </c>
      <c r="C217" s="11">
        <v>-1.1839482063429278E-2</v>
      </c>
      <c r="D217" s="11">
        <v>-2.2294793694655483E-2</v>
      </c>
      <c r="E217" s="11">
        <v>-2.890364493503509E-2</v>
      </c>
      <c r="F217" s="11">
        <v>1.475E-3</v>
      </c>
      <c r="G217" s="11">
        <v>1.5916666666666666E-3</v>
      </c>
      <c r="H217" s="11">
        <v>1.6416666666666665E-3</v>
      </c>
      <c r="I217" s="11">
        <v>1.6566666666666665E-3</v>
      </c>
      <c r="J217" s="11">
        <v>1.4800000000000002E-3</v>
      </c>
      <c r="K217" s="11">
        <v>1.5208333333333332E-3</v>
      </c>
      <c r="L217" s="11">
        <v>1.5774999999999999E-3</v>
      </c>
      <c r="M217" s="11">
        <v>1.66E-3</v>
      </c>
      <c r="N217" s="11">
        <v>1.5450000000000001E-3</v>
      </c>
      <c r="O217" s="11">
        <v>1.6316666666666667E-3</v>
      </c>
      <c r="P217" s="11">
        <v>1.9199999999999998E-3</v>
      </c>
      <c r="Q217" s="11">
        <v>6.9775000000000002E-3</v>
      </c>
    </row>
    <row r="218" spans="1:17" x14ac:dyDescent="0.25">
      <c r="A218" s="10" t="s">
        <v>216</v>
      </c>
      <c r="B218" s="11">
        <v>8.6598696067269387E-2</v>
      </c>
      <c r="C218" s="11">
        <v>3.9917153855357566E-2</v>
      </c>
      <c r="D218" s="11">
        <v>9.4413754710517231E-2</v>
      </c>
      <c r="E218" s="11">
        <v>6.0993117738474115E-2</v>
      </c>
      <c r="F218" s="11">
        <v>1.4666666666666667E-3</v>
      </c>
      <c r="G218" s="11">
        <v>1.5583333333333334E-3</v>
      </c>
      <c r="H218" s="11">
        <v>1.6416666666666665E-3</v>
      </c>
      <c r="I218" s="11">
        <v>1.6391666666666666E-3</v>
      </c>
      <c r="J218" s="11">
        <v>1.4441666666666667E-3</v>
      </c>
      <c r="K218" s="11">
        <v>1.5058333333333332E-3</v>
      </c>
      <c r="L218" s="11">
        <v>1.5658333333333334E-3</v>
      </c>
      <c r="M218" s="11">
        <v>1.6591666666666666E-3</v>
      </c>
      <c r="N218" s="11">
        <v>1.5066666666666666E-3</v>
      </c>
      <c r="O218" s="11">
        <v>1.5841666666666667E-3</v>
      </c>
      <c r="P218" s="11">
        <v>1.8858333333333331E-3</v>
      </c>
      <c r="Q218" s="11">
        <v>6.9525000000000003E-3</v>
      </c>
    </row>
    <row r="219" spans="1:17" x14ac:dyDescent="0.25">
      <c r="A219" s="10" t="s">
        <v>217</v>
      </c>
      <c r="B219" s="11">
        <v>-5.1825157049488774E-3</v>
      </c>
      <c r="C219" s="11">
        <v>8.8513481345119053E-3</v>
      </c>
      <c r="D219" s="11">
        <v>-2.7145470374754226E-2</v>
      </c>
      <c r="E219" s="11">
        <v>2.0073654549005365E-2</v>
      </c>
      <c r="F219" s="11">
        <v>1.4666666666666667E-3</v>
      </c>
      <c r="G219" s="11">
        <v>1.5583333333333334E-3</v>
      </c>
      <c r="H219" s="11">
        <v>1.6416666666666665E-3</v>
      </c>
      <c r="I219" s="11">
        <v>1.6225E-3</v>
      </c>
      <c r="J219" s="11">
        <v>1.4666666666666667E-3</v>
      </c>
      <c r="K219" s="11">
        <v>1.5016666666666668E-3</v>
      </c>
      <c r="L219" s="11">
        <v>1.5574999999999999E-3</v>
      </c>
      <c r="M219" s="11">
        <v>1.6566666666666665E-3</v>
      </c>
      <c r="N219" s="11">
        <v>1.5258333333333333E-3</v>
      </c>
      <c r="O219" s="11">
        <v>1.5758333333333334E-3</v>
      </c>
      <c r="P219" s="11">
        <v>1.8741666666666666E-3</v>
      </c>
      <c r="Q219" s="11">
        <v>6.9408333333333336E-3</v>
      </c>
    </row>
    <row r="220" spans="1:17" x14ac:dyDescent="0.25">
      <c r="A220" s="10" t="s">
        <v>218</v>
      </c>
      <c r="B220" s="11">
        <v>-2.7322791506083445E-2</v>
      </c>
      <c r="C220" s="11">
        <v>-1.5431625393754117E-2</v>
      </c>
      <c r="D220" s="11">
        <v>-1.2840365201303123E-2</v>
      </c>
      <c r="E220" s="11">
        <v>-2.6529914529915275E-3</v>
      </c>
      <c r="F220" s="11">
        <v>1.4666666666666667E-3</v>
      </c>
      <c r="G220" s="11">
        <v>1.5833333333333333E-3</v>
      </c>
      <c r="H220" s="11">
        <v>1.6499999999999998E-3</v>
      </c>
      <c r="I220" s="11">
        <v>1.5983333333333333E-3</v>
      </c>
      <c r="J220" s="11">
        <v>1.4741666666666664E-3</v>
      </c>
      <c r="K220" s="11">
        <v>1.4908333333333334E-3</v>
      </c>
      <c r="L220" s="11">
        <v>1.5316666666666666E-3</v>
      </c>
      <c r="M220" s="11">
        <v>1.6275000000000003E-3</v>
      </c>
      <c r="N220" s="11">
        <v>1.5258333333333333E-3</v>
      </c>
      <c r="O220" s="11">
        <v>1.5708333333333332E-3</v>
      </c>
      <c r="P220" s="11">
        <v>1.8700000000000001E-3</v>
      </c>
      <c r="Q220" s="11">
        <v>6.9316666666666658E-3</v>
      </c>
    </row>
    <row r="221" spans="1:17" x14ac:dyDescent="0.25">
      <c r="A221" s="10" t="s">
        <v>219</v>
      </c>
      <c r="B221" s="11">
        <v>2.9454752043041189E-2</v>
      </c>
      <c r="C221" s="11">
        <v>2.1117675018673142E-2</v>
      </c>
      <c r="D221" s="11">
        <v>4.501655207537554E-2</v>
      </c>
      <c r="E221" s="11">
        <v>3.4868574405945436E-2</v>
      </c>
      <c r="F221" s="11">
        <v>1.4583333333333334E-3</v>
      </c>
      <c r="G221" s="11">
        <v>1.5500000000000002E-3</v>
      </c>
      <c r="H221" s="11">
        <v>1.6499999999999998E-3</v>
      </c>
      <c r="I221" s="11">
        <v>1.5391666666666668E-3</v>
      </c>
      <c r="J221" s="11">
        <v>1.4591666666666666E-3</v>
      </c>
      <c r="K221" s="11">
        <v>1.4466666666666666E-3</v>
      </c>
      <c r="L221" s="11">
        <v>1.4758333333333333E-3</v>
      </c>
      <c r="M221" s="11">
        <v>1.5741666666666666E-3</v>
      </c>
      <c r="N221" s="11">
        <v>1.475E-3</v>
      </c>
      <c r="O221" s="11">
        <v>1.5366666666666669E-3</v>
      </c>
      <c r="P221" s="11">
        <v>1.8391666666666667E-3</v>
      </c>
      <c r="Q221" s="11">
        <v>6.8999999999999999E-3</v>
      </c>
    </row>
    <row r="222" spans="1:17" x14ac:dyDescent="0.25">
      <c r="A222" s="10" t="s">
        <v>220</v>
      </c>
      <c r="B222" s="11">
        <v>-7.1346027762972428E-2</v>
      </c>
      <c r="C222" s="11">
        <v>-9.3828966617901272E-2</v>
      </c>
      <c r="D222" s="11">
        <v>-5.4973707167538202E-2</v>
      </c>
      <c r="E222" s="11">
        <v>-7.7205395235445298E-2</v>
      </c>
      <c r="F222" s="11">
        <v>1.4583333333333334E-3</v>
      </c>
      <c r="G222" s="11">
        <v>1.5333333333333334E-3</v>
      </c>
      <c r="H222" s="11">
        <v>1.6249999999999999E-3</v>
      </c>
      <c r="I222" s="11">
        <v>1.4958333333333334E-3</v>
      </c>
      <c r="J222" s="11">
        <v>1.4258333333333334E-3</v>
      </c>
      <c r="K222" s="11">
        <v>1.3991666666666666E-3</v>
      </c>
      <c r="L222" s="11">
        <v>1.4299999999999998E-3</v>
      </c>
      <c r="M222" s="11">
        <v>1.5233333333333334E-3</v>
      </c>
      <c r="N222" s="11">
        <v>1.4291666666666669E-3</v>
      </c>
      <c r="O222" s="11">
        <v>1.4866666666666667E-3</v>
      </c>
      <c r="P222" s="11">
        <v>1.7941666666666668E-3</v>
      </c>
      <c r="Q222" s="11">
        <v>6.8533333333333337E-3</v>
      </c>
    </row>
    <row r="223" spans="1:17" x14ac:dyDescent="0.25">
      <c r="A223" s="10" t="s">
        <v>221</v>
      </c>
      <c r="B223" s="11">
        <v>4.9029118816759296E-2</v>
      </c>
      <c r="C223" s="11">
        <v>1.4128525116658543E-2</v>
      </c>
      <c r="D223" s="11">
        <v>3.9245212960718763E-2</v>
      </c>
      <c r="E223" s="11">
        <v>-8.5287234195299925E-3</v>
      </c>
      <c r="F223" s="11">
        <v>1.4666666666666667E-3</v>
      </c>
      <c r="G223" s="11">
        <v>1.5000000000000002E-3</v>
      </c>
      <c r="H223" s="11">
        <v>1.6083333333333331E-3</v>
      </c>
      <c r="I223" s="11">
        <v>1.3391666666666667E-3</v>
      </c>
      <c r="J223" s="11">
        <v>1.3000000000000002E-3</v>
      </c>
      <c r="K223" s="11">
        <v>1.2466666666666665E-3</v>
      </c>
      <c r="L223" s="11">
        <v>1.2750000000000001E-3</v>
      </c>
      <c r="M223" s="11">
        <v>1.3483333333333333E-3</v>
      </c>
      <c r="N223" s="11">
        <v>1.305E-3</v>
      </c>
      <c r="O223" s="11">
        <v>1.3591666666666667E-3</v>
      </c>
      <c r="P223" s="11">
        <v>1.6699999999999998E-3</v>
      </c>
      <c r="Q223" s="11">
        <v>6.7475E-3</v>
      </c>
    </row>
    <row r="224" spans="1:17" x14ac:dyDescent="0.25">
      <c r="A224" s="10" t="s">
        <v>222</v>
      </c>
      <c r="B224" s="11">
        <v>-4.2772204361467316E-2</v>
      </c>
      <c r="C224" s="11">
        <v>-7.4357686479491952E-2</v>
      </c>
      <c r="D224" s="11">
        <v>-9.719679037708609E-2</v>
      </c>
      <c r="E224" s="11">
        <v>-8.7396637365501892E-2</v>
      </c>
      <c r="F224" s="11">
        <v>1.3583333333333331E-3</v>
      </c>
      <c r="G224" s="11">
        <v>1.4E-3</v>
      </c>
      <c r="H224" s="11">
        <v>1.5500000000000002E-3</v>
      </c>
      <c r="I224" s="11">
        <v>1.235E-3</v>
      </c>
      <c r="J224" s="11">
        <v>1.2316666666666667E-3</v>
      </c>
      <c r="K224" s="11">
        <v>1.1516666666666665E-3</v>
      </c>
      <c r="L224" s="11">
        <v>1.1841666666666667E-3</v>
      </c>
      <c r="M224" s="11">
        <v>1.255E-3</v>
      </c>
      <c r="N224" s="11">
        <v>1.2225000000000001E-3</v>
      </c>
      <c r="O224" s="11">
        <v>1.2783333333333334E-3</v>
      </c>
      <c r="P224" s="11">
        <v>1.5708333333333332E-3</v>
      </c>
      <c r="Q224" s="11">
        <v>6.6575000000000002E-3</v>
      </c>
    </row>
    <row r="225" spans="1:17" x14ac:dyDescent="0.25">
      <c r="A225" s="10" t="s">
        <v>223</v>
      </c>
      <c r="B225" s="11">
        <v>-2.9018421664929992E-2</v>
      </c>
      <c r="C225" s="11">
        <v>-2.6914923458243561E-2</v>
      </c>
      <c r="D225" s="11">
        <v>-2.0260317041531948E-2</v>
      </c>
      <c r="E225" s="11">
        <v>-3.1149830207242369E-2</v>
      </c>
      <c r="F225" s="11">
        <v>1.2583333333333333E-3</v>
      </c>
      <c r="G225" s="11">
        <v>1.2416666666666667E-3</v>
      </c>
      <c r="H225" s="11">
        <v>1.4416666666666666E-3</v>
      </c>
      <c r="I225" s="11">
        <v>1.0483333333333334E-3</v>
      </c>
      <c r="J225" s="11">
        <v>9.8833333333333325E-4</v>
      </c>
      <c r="K225" s="11">
        <v>9.6999999999999994E-4</v>
      </c>
      <c r="L225" s="11">
        <v>1.0008333333333334E-3</v>
      </c>
      <c r="M225" s="11">
        <v>1.0450000000000001E-3</v>
      </c>
      <c r="N225" s="11">
        <v>1.0141666666666667E-3</v>
      </c>
      <c r="O225" s="11">
        <v>1.1025E-3</v>
      </c>
      <c r="P225" s="11">
        <v>1.4075000000000001E-3</v>
      </c>
      <c r="Q225" s="11">
        <v>6.4925000000000009E-3</v>
      </c>
    </row>
    <row r="226" spans="1:17" x14ac:dyDescent="0.25">
      <c r="A226" s="10" t="s">
        <v>224</v>
      </c>
      <c r="B226" s="11">
        <v>5.4317193238350728E-2</v>
      </c>
      <c r="C226" s="11">
        <v>2.6402343934596614E-2</v>
      </c>
      <c r="D226" s="11">
        <v>1.7672205827900765E-2</v>
      </c>
      <c r="E226" s="11">
        <v>1.836049463598401E-2</v>
      </c>
      <c r="F226" s="11">
        <v>1.2666666666666666E-3</v>
      </c>
      <c r="G226" s="11">
        <v>1.2833333333333334E-3</v>
      </c>
      <c r="H226" s="11">
        <v>1.4333333333333333E-3</v>
      </c>
      <c r="I226" s="11">
        <v>1.2008333333333335E-3</v>
      </c>
      <c r="J226" s="11">
        <v>1.0233333333333333E-3</v>
      </c>
      <c r="K226" s="11">
        <v>1.0724999999999999E-3</v>
      </c>
      <c r="L226" s="11">
        <v>1.1275E-3</v>
      </c>
      <c r="M226" s="11">
        <v>1.1833333333333333E-3</v>
      </c>
      <c r="N226" s="11">
        <v>1.0724999999999999E-3</v>
      </c>
      <c r="O226" s="11">
        <v>1.1816666666666666E-3</v>
      </c>
      <c r="P226" s="11">
        <v>1.4933333333333335E-3</v>
      </c>
      <c r="Q226" s="11">
        <v>6.5783333333333327E-3</v>
      </c>
    </row>
    <row r="227" spans="1:17" x14ac:dyDescent="0.25">
      <c r="A227" s="10" t="s">
        <v>225</v>
      </c>
      <c r="B227" s="11">
        <v>1.2485671370409889E-2</v>
      </c>
      <c r="C227" s="11">
        <v>-1.2200905169038414E-3</v>
      </c>
      <c r="D227" s="11">
        <v>-1.5623277249774055E-2</v>
      </c>
      <c r="E227" s="11">
        <v>5.9122490993309303E-2</v>
      </c>
      <c r="F227" s="11">
        <v>1.1333333333333334E-3</v>
      </c>
      <c r="G227" s="11">
        <v>1.2166666666666667E-3</v>
      </c>
      <c r="H227" s="11">
        <v>1.4083333333333333E-3</v>
      </c>
      <c r="I227" s="11">
        <v>1.2966666666666667E-3</v>
      </c>
      <c r="J227" s="11">
        <v>1.0816666666666668E-3</v>
      </c>
      <c r="K227" s="11">
        <v>1.1308333333333333E-3</v>
      </c>
      <c r="L227" s="11">
        <v>1.2016666666666666E-3</v>
      </c>
      <c r="M227" s="11">
        <v>1.3141666666666666E-3</v>
      </c>
      <c r="N227" s="11">
        <v>1.1116666666666668E-3</v>
      </c>
      <c r="O227" s="11">
        <v>1.2008333333333335E-3</v>
      </c>
      <c r="P227" s="11">
        <v>1.5508333333333335E-3</v>
      </c>
      <c r="Q227" s="11">
        <v>6.6416666666666664E-3</v>
      </c>
    </row>
    <row r="228" spans="1:17" x14ac:dyDescent="0.25">
      <c r="A228" s="10" t="s">
        <v>226</v>
      </c>
      <c r="B228" s="11">
        <v>1.7372718000770769E-3</v>
      </c>
      <c r="C228" s="11">
        <v>8.7999926244167245E-3</v>
      </c>
      <c r="D228" s="11">
        <v>-6.5691468509536137E-3</v>
      </c>
      <c r="E228" s="11">
        <v>-3.876875417603106E-2</v>
      </c>
      <c r="F228" s="11">
        <v>1.0666666666666667E-3</v>
      </c>
      <c r="G228" s="11">
        <v>1.2666666666666666E-3</v>
      </c>
      <c r="H228" s="11">
        <v>1.3750000000000001E-3</v>
      </c>
      <c r="I228" s="11">
        <v>1.42E-3</v>
      </c>
      <c r="J228" s="11">
        <v>1.155E-3</v>
      </c>
      <c r="K228" s="11">
        <v>1.2433333333333333E-3</v>
      </c>
      <c r="L228" s="11">
        <v>1.3274999999999999E-3</v>
      </c>
      <c r="M228" s="11">
        <v>1.4583333333333334E-3</v>
      </c>
      <c r="N228" s="11">
        <v>1.1841666666666667E-3</v>
      </c>
      <c r="O228" s="11">
        <v>1.2716666666666668E-3</v>
      </c>
      <c r="P228" s="11">
        <v>1.6683333333333331E-3</v>
      </c>
      <c r="Q228" s="11">
        <v>6.7599999999999995E-3</v>
      </c>
    </row>
    <row r="229" spans="1:17" x14ac:dyDescent="0.25">
      <c r="A229" s="10" t="s">
        <v>227</v>
      </c>
      <c r="B229" s="11">
        <v>5.8925831202046051E-2</v>
      </c>
      <c r="C229" s="11">
        <v>2.2747108631380866E-2</v>
      </c>
      <c r="D229" s="11">
        <v>2.0463501119009606E-2</v>
      </c>
      <c r="E229" s="11">
        <v>5.8199971563531856E-2</v>
      </c>
      <c r="F229" s="11">
        <v>1.0666666666666667E-3</v>
      </c>
      <c r="G229" s="11">
        <v>1.2750000000000001E-3</v>
      </c>
      <c r="H229" s="11">
        <v>1.3916666666666667E-3</v>
      </c>
      <c r="I229" s="11">
        <v>1.3433333333333335E-3</v>
      </c>
      <c r="J229" s="11">
        <v>1.1250000000000001E-3</v>
      </c>
      <c r="K229" s="11">
        <v>1.1583333333333333E-3</v>
      </c>
      <c r="L229" s="11">
        <v>1.2341666666666666E-3</v>
      </c>
      <c r="M229" s="11">
        <v>1.3775E-3</v>
      </c>
      <c r="N229" s="11">
        <v>1.1491666666666666E-3</v>
      </c>
      <c r="O229" s="11">
        <v>1.2533333333333333E-3</v>
      </c>
      <c r="P229" s="11">
        <v>1.6233333333333334E-3</v>
      </c>
      <c r="Q229" s="11">
        <v>6.7158333333333332E-3</v>
      </c>
    </row>
    <row r="230" spans="1:17" x14ac:dyDescent="0.25">
      <c r="A230" s="10" t="s">
        <v>228</v>
      </c>
      <c r="B230" s="11">
        <v>-3.140253299658198E-2</v>
      </c>
      <c r="C230" s="11">
        <v>-6.9565139688766486E-2</v>
      </c>
      <c r="D230" s="11">
        <v>-4.4127964467818352E-2</v>
      </c>
      <c r="E230" s="11">
        <v>-4.0831255691742716E-2</v>
      </c>
      <c r="F230" s="11">
        <v>1.0583333333333332E-3</v>
      </c>
      <c r="G230" s="11">
        <v>1.225E-3</v>
      </c>
      <c r="H230" s="11">
        <v>1.4083333333333333E-3</v>
      </c>
      <c r="I230" s="11">
        <v>1.3208333333333334E-3</v>
      </c>
      <c r="J230" s="11">
        <v>1.0966666666666666E-3</v>
      </c>
      <c r="K230" s="11">
        <v>1.1441666666666666E-3</v>
      </c>
      <c r="L230" s="11">
        <v>1.2325000000000001E-3</v>
      </c>
      <c r="M230" s="11">
        <v>1.3799999999999999E-3</v>
      </c>
      <c r="N230" s="11">
        <v>1.1150000000000001E-3</v>
      </c>
      <c r="O230" s="11">
        <v>1.1933333333333334E-3</v>
      </c>
      <c r="P230" s="11">
        <v>1.6291666666666668E-3</v>
      </c>
      <c r="Q230" s="11">
        <v>6.7233333333333338E-3</v>
      </c>
    </row>
    <row r="231" spans="1:17" x14ac:dyDescent="0.25">
      <c r="A231" s="10" t="s">
        <v>229</v>
      </c>
      <c r="B231" s="11">
        <v>-5.9227243582132001E-2</v>
      </c>
      <c r="C231" s="11">
        <v>-7.5798683307002526E-2</v>
      </c>
      <c r="D231" s="11">
        <v>-7.860441192618664E-2</v>
      </c>
      <c r="E231" s="11">
        <v>-4.941788071224007E-2</v>
      </c>
      <c r="F231" s="11">
        <v>1.0333333333333334E-3</v>
      </c>
      <c r="G231" s="11">
        <v>1.1833333333333333E-3</v>
      </c>
      <c r="H231" s="11">
        <v>1.3750000000000001E-3</v>
      </c>
      <c r="I231" s="11">
        <v>1.2191666666666668E-3</v>
      </c>
      <c r="J231" s="11">
        <v>1.0116666666666666E-3</v>
      </c>
      <c r="K231" s="11">
        <v>1.0441666666666666E-3</v>
      </c>
      <c r="L231" s="11">
        <v>1.1308333333333333E-3</v>
      </c>
      <c r="M231" s="11">
        <v>1.2833333333333334E-3</v>
      </c>
      <c r="N231" s="11">
        <v>1.0233333333333333E-3</v>
      </c>
      <c r="O231" s="11">
        <v>1.0808333333333332E-3</v>
      </c>
      <c r="P231" s="11">
        <v>1.5391666666666668E-3</v>
      </c>
      <c r="Q231" s="11">
        <v>6.6425E-3</v>
      </c>
    </row>
    <row r="232" spans="1:17" x14ac:dyDescent="0.25">
      <c r="A232" s="10" t="s">
        <v>230</v>
      </c>
      <c r="B232" s="11">
        <v>-0.11593083427994452</v>
      </c>
      <c r="C232" s="11">
        <v>-0.1144162025105994</v>
      </c>
      <c r="D232" s="11">
        <v>-0.13767797779589788</v>
      </c>
      <c r="E232" s="11">
        <v>-6.8213449478492894E-2</v>
      </c>
      <c r="F232" s="11">
        <v>8.166666666666666E-4</v>
      </c>
      <c r="G232" s="11">
        <v>1.0250000000000001E-3</v>
      </c>
      <c r="H232" s="11">
        <v>1.3750000000000001E-3</v>
      </c>
      <c r="I232" s="11">
        <v>1.1633333333333333E-3</v>
      </c>
      <c r="J232" s="11">
        <v>8.5833333333333334E-4</v>
      </c>
      <c r="K232" s="11">
        <v>9.0916666666666663E-4</v>
      </c>
      <c r="L232" s="11">
        <v>1.0549999999999999E-3</v>
      </c>
      <c r="M232" s="11">
        <v>1.2375000000000001E-3</v>
      </c>
      <c r="N232" s="11">
        <v>8.7250000000000001E-4</v>
      </c>
      <c r="O232" s="11">
        <v>9.9666666666666675E-4</v>
      </c>
      <c r="P232" s="11">
        <v>1.5333333333333334E-3</v>
      </c>
      <c r="Q232" s="11">
        <v>6.6708333333333342E-3</v>
      </c>
    </row>
    <row r="233" spans="1:17" x14ac:dyDescent="0.25">
      <c r="A233" s="10" t="s">
        <v>231</v>
      </c>
      <c r="B233" s="11">
        <v>9.6189867056512446E-2</v>
      </c>
      <c r="C233" s="11">
        <v>0.18269450784133104</v>
      </c>
      <c r="D233" s="11">
        <v>0.19399185336048883</v>
      </c>
      <c r="E233" s="11">
        <v>0.13374453054984431</v>
      </c>
      <c r="F233" s="11">
        <v>6.1666666666666673E-4</v>
      </c>
      <c r="G233" s="11">
        <v>9.1666666666666676E-4</v>
      </c>
      <c r="H233" s="11">
        <v>1.7666666666666666E-3</v>
      </c>
      <c r="I233" s="11">
        <v>1.1766666666666666E-3</v>
      </c>
      <c r="J233" s="11">
        <v>7.4416666666666674E-4</v>
      </c>
      <c r="K233" s="11">
        <v>8.5333333333333344E-4</v>
      </c>
      <c r="L233" s="11">
        <v>1.0499999999999999E-3</v>
      </c>
      <c r="M233" s="11">
        <v>1.2533333333333333E-3</v>
      </c>
      <c r="N233" s="11">
        <v>7.2749999999999996E-4</v>
      </c>
      <c r="O233" s="11">
        <v>9.0833333333333337E-4</v>
      </c>
      <c r="P233" s="11">
        <v>1.7875E-3</v>
      </c>
      <c r="Q233" s="11">
        <v>6.9725000000000004E-3</v>
      </c>
    </row>
    <row r="234" spans="1:17" x14ac:dyDescent="0.25">
      <c r="A234" s="10" t="s">
        <v>232</v>
      </c>
      <c r="B234" s="11">
        <v>4.1452207797620377E-2</v>
      </c>
      <c r="C234" s="11">
        <v>4.295026341637654E-2</v>
      </c>
      <c r="D234" s="11">
        <v>5.2525129454766999E-2</v>
      </c>
      <c r="E234" s="11">
        <v>0.1061719210142906</v>
      </c>
      <c r="F234" s="11">
        <v>5.8333333333333327E-4</v>
      </c>
      <c r="G234" s="11">
        <v>8.5000000000000006E-4</v>
      </c>
      <c r="H234" s="11">
        <v>1.5999999999999999E-3</v>
      </c>
      <c r="I234" s="11">
        <v>1.0841666666666667E-3</v>
      </c>
      <c r="J234" s="11">
        <v>6.4916666666666671E-4</v>
      </c>
      <c r="K234" s="11">
        <v>7.316666666666666E-4</v>
      </c>
      <c r="L234" s="11">
        <v>9.4083333333333334E-4</v>
      </c>
      <c r="M234" s="11">
        <v>1.1616666666666665E-3</v>
      </c>
      <c r="N234" s="11">
        <v>6.1249999999999998E-4</v>
      </c>
      <c r="O234" s="11">
        <v>7.9750000000000003E-4</v>
      </c>
      <c r="P234" s="11">
        <v>1.8158333333333331E-3</v>
      </c>
      <c r="Q234" s="11">
        <v>7.0333333333333324E-3</v>
      </c>
    </row>
    <row r="235" spans="1:17" x14ac:dyDescent="0.25">
      <c r="A235" s="10" t="s">
        <v>233</v>
      </c>
      <c r="B235" s="11">
        <v>4.6040027411924166E-2</v>
      </c>
      <c r="C235" s="11">
        <v>4.0382420091323165E-3</v>
      </c>
      <c r="D235" s="11">
        <v>-1.5222373995786985E-3</v>
      </c>
      <c r="E235" s="11">
        <v>3.4034861562605198E-2</v>
      </c>
      <c r="F235" s="11">
        <v>3.9999999999999996E-4</v>
      </c>
      <c r="G235" s="11">
        <v>6.5833333333333336E-4</v>
      </c>
      <c r="H235" s="11">
        <v>1.3000000000000002E-3</v>
      </c>
      <c r="I235" s="11">
        <v>1.0683333333333332E-3</v>
      </c>
      <c r="J235" s="11">
        <v>5.9916666666666658E-4</v>
      </c>
      <c r="K235" s="11">
        <v>7.0833333333333338E-4</v>
      </c>
      <c r="L235" s="11">
        <v>9.3916666666666671E-4</v>
      </c>
      <c r="M235" s="11">
        <v>1.1599999999999998E-3</v>
      </c>
      <c r="N235" s="11">
        <v>5.6000000000000006E-4</v>
      </c>
      <c r="O235" s="11">
        <v>6.7083333333333329E-4</v>
      </c>
      <c r="P235" s="11">
        <v>1.8483333333333331E-3</v>
      </c>
      <c r="Q235" s="11">
        <v>7.0958333333333333E-3</v>
      </c>
    </row>
    <row r="236" spans="1:17" x14ac:dyDescent="0.25">
      <c r="A236" s="10" t="s">
        <v>234</v>
      </c>
      <c r="B236" s="11">
        <v>5.6657277983138632E-2</v>
      </c>
      <c r="C236" s="11">
        <v>0.11204278763933707</v>
      </c>
      <c r="D236" s="11">
        <v>7.9752360746395939E-2</v>
      </c>
      <c r="E236" s="11">
        <v>0.1047874574847215</v>
      </c>
      <c r="F236" s="11">
        <v>3.9999999999999996E-4</v>
      </c>
      <c r="G236" s="11">
        <v>6.5833333333333336E-4</v>
      </c>
      <c r="H236" s="11">
        <v>1.2333333333333335E-3</v>
      </c>
      <c r="I236" s="11">
        <v>1.0383333333333334E-3</v>
      </c>
      <c r="J236" s="11">
        <v>5.7416666666666662E-4</v>
      </c>
      <c r="K236" s="11">
        <v>6.8833333333333333E-4</v>
      </c>
      <c r="L236" s="11">
        <v>9.1166666666666664E-4</v>
      </c>
      <c r="M236" s="11">
        <v>1.1333333333333334E-3</v>
      </c>
      <c r="N236" s="11">
        <v>5.2499999999999997E-4</v>
      </c>
      <c r="O236" s="11">
        <v>6.4166666666666669E-4</v>
      </c>
      <c r="P236" s="11">
        <v>1.8491666666666665E-3</v>
      </c>
      <c r="Q236" s="11">
        <v>7.1200000000000005E-3</v>
      </c>
    </row>
    <row r="237" spans="1:17" x14ac:dyDescent="0.25">
      <c r="A237" s="10" t="s">
        <v>235</v>
      </c>
      <c r="B237" s="11">
        <v>3.0072635937818122E-2</v>
      </c>
      <c r="C237" s="11">
        <v>7.269745250063904E-2</v>
      </c>
      <c r="D237" s="11">
        <v>4.0694272200658167E-2</v>
      </c>
      <c r="E237" s="11">
        <v>4.0402305899668901E-2</v>
      </c>
      <c r="F237" s="11">
        <v>4.2500000000000003E-4</v>
      </c>
      <c r="G237" s="11">
        <v>5.6666666666666671E-4</v>
      </c>
      <c r="H237" s="11">
        <v>1.1916666666666666E-3</v>
      </c>
      <c r="I237" s="11">
        <v>1.0258333333333335E-3</v>
      </c>
      <c r="J237" s="11">
        <v>5.5916666666666669E-4</v>
      </c>
      <c r="K237" s="11">
        <v>6.9083333333333323E-4</v>
      </c>
      <c r="L237" s="11">
        <v>9.1000000000000011E-4</v>
      </c>
      <c r="M237" s="11">
        <v>1.1441666666666666E-3</v>
      </c>
      <c r="N237" s="11">
        <v>5.1666666666666668E-4</v>
      </c>
      <c r="O237" s="11">
        <v>6.2666666666666665E-4</v>
      </c>
      <c r="P237" s="11">
        <v>1.8266666666666668E-3</v>
      </c>
      <c r="Q237" s="11">
        <v>7.1183333333333333E-3</v>
      </c>
    </row>
    <row r="238" spans="1:17" x14ac:dyDescent="0.25">
      <c r="A238" s="10" t="s">
        <v>236</v>
      </c>
      <c r="B238" s="11">
        <v>3.0227142919907338E-3</v>
      </c>
      <c r="C238" s="11">
        <v>-1.6044161156450461E-2</v>
      </c>
      <c r="D238" s="11">
        <v>1.3577718509958852E-2</v>
      </c>
      <c r="E238" s="11">
        <v>-1.061020465906251E-4</v>
      </c>
      <c r="F238" s="11">
        <v>3.9999999999999996E-4</v>
      </c>
      <c r="G238" s="11">
        <v>5.2499999999999997E-4</v>
      </c>
      <c r="H238" s="11">
        <v>1.0083333333333333E-3</v>
      </c>
      <c r="I238" s="11">
        <v>1.1066666666666666E-3</v>
      </c>
      <c r="J238" s="11">
        <v>5.8750000000000002E-4</v>
      </c>
      <c r="K238" s="11">
        <v>7.5666666666666666E-4</v>
      </c>
      <c r="L238" s="11">
        <v>9.9500000000000001E-4</v>
      </c>
      <c r="M238" s="11">
        <v>1.25E-3</v>
      </c>
      <c r="N238" s="11">
        <v>5.7416666666666662E-4</v>
      </c>
      <c r="O238" s="11">
        <v>6.9249999999999997E-4</v>
      </c>
      <c r="P238" s="11">
        <v>1.8658333333333333E-3</v>
      </c>
      <c r="Q238" s="11">
        <v>7.1583333333333334E-3</v>
      </c>
    </row>
    <row r="239" spans="1:17" x14ac:dyDescent="0.25">
      <c r="A239" s="10" t="s">
        <v>237</v>
      </c>
      <c r="B239" s="11">
        <v>-2.5295885202673698E-2</v>
      </c>
      <c r="C239" s="11">
        <v>-1.55510261739956E-2</v>
      </c>
      <c r="D239" s="11">
        <v>-2.4307941306704529E-2</v>
      </c>
      <c r="E239" s="11">
        <v>-6.5436538348169551E-2</v>
      </c>
      <c r="F239" s="11">
        <v>4.1666666666666669E-4</v>
      </c>
      <c r="G239" s="11">
        <v>5.2499999999999997E-4</v>
      </c>
      <c r="H239" s="11">
        <v>9.2500000000000004E-4</v>
      </c>
      <c r="I239" s="11">
        <v>1.1166666666666666E-3</v>
      </c>
      <c r="J239" s="11">
        <v>5.6666666666666671E-4</v>
      </c>
      <c r="K239" s="11">
        <v>7.5833333333333341E-4</v>
      </c>
      <c r="L239" s="11">
        <v>9.9666666666666675E-4</v>
      </c>
      <c r="M239" s="11">
        <v>1.2558333333333332E-3</v>
      </c>
      <c r="N239" s="11">
        <v>5.8166666666666664E-4</v>
      </c>
      <c r="O239" s="11">
        <v>7.0500000000000001E-4</v>
      </c>
      <c r="P239" s="11">
        <v>1.8658333333333333E-3</v>
      </c>
      <c r="Q239" s="11">
        <v>7.1650000000000004E-3</v>
      </c>
    </row>
    <row r="240" spans="1:17" x14ac:dyDescent="0.25">
      <c r="A240" s="10" t="s">
        <v>238</v>
      </c>
      <c r="B240" s="11">
        <v>0.14456483150056401</v>
      </c>
      <c r="C240" s="11">
        <v>0.13955032962707867</v>
      </c>
      <c r="D240" s="11">
        <v>0.11853752940746885</v>
      </c>
      <c r="E240" s="11">
        <v>0.11790828234403587</v>
      </c>
      <c r="F240" s="11">
        <v>4.1666666666666669E-4</v>
      </c>
      <c r="G240" s="11">
        <v>5.5000000000000003E-4</v>
      </c>
      <c r="H240" s="11">
        <v>9.1666666666666676E-4</v>
      </c>
      <c r="I240" s="11">
        <v>1.1850000000000001E-3</v>
      </c>
      <c r="J240" s="11">
        <v>5.8333333333333327E-4</v>
      </c>
      <c r="K240" s="11">
        <v>8.0416666666666657E-4</v>
      </c>
      <c r="L240" s="11">
        <v>1.0791666666666666E-3</v>
      </c>
      <c r="M240" s="11">
        <v>1.3416666666666666E-3</v>
      </c>
      <c r="N240" s="11">
        <v>5.9583333333333331E-4</v>
      </c>
      <c r="O240" s="11">
        <v>7.2083333333333331E-4</v>
      </c>
      <c r="P240" s="11">
        <v>1.8725E-3</v>
      </c>
      <c r="Q240" s="11">
        <v>7.1966666666666663E-3</v>
      </c>
    </row>
    <row r="241" spans="1:17" x14ac:dyDescent="0.25">
      <c r="A241" s="10" t="s">
        <v>239</v>
      </c>
      <c r="B241" s="11">
        <v>0.12261869238138604</v>
      </c>
      <c r="C241" s="11">
        <v>6.2777477963662454E-2</v>
      </c>
      <c r="D241" s="11">
        <v>3.1003558320547329E-2</v>
      </c>
      <c r="E241" s="11">
        <v>9.2889144688582614E-2</v>
      </c>
      <c r="F241" s="11">
        <v>4.2500000000000003E-4</v>
      </c>
      <c r="G241" s="11">
        <v>5.5000000000000003E-4</v>
      </c>
      <c r="H241" s="11">
        <v>9.0833333333333337E-4</v>
      </c>
      <c r="I241" s="11">
        <v>1.2191666666666668E-3</v>
      </c>
      <c r="J241" s="11">
        <v>5.9916666666666658E-4</v>
      </c>
      <c r="K241" s="11">
        <v>8.0833333333333332E-4</v>
      </c>
      <c r="L241" s="11">
        <v>1.1025E-3</v>
      </c>
      <c r="M241" s="11">
        <v>1.3958333333333333E-3</v>
      </c>
      <c r="N241" s="11">
        <v>6.0583333333333333E-4</v>
      </c>
      <c r="O241" s="11">
        <v>7.3249999999999997E-4</v>
      </c>
      <c r="P241" s="11">
        <v>1.8424999999999997E-3</v>
      </c>
      <c r="Q241" s="11">
        <v>7.1825000000000005E-3</v>
      </c>
    </row>
    <row r="242" spans="1:17" x14ac:dyDescent="0.25">
      <c r="A242" s="10" t="s">
        <v>240</v>
      </c>
      <c r="B242" s="11">
        <v>4.2955771154370832E-2</v>
      </c>
      <c r="C242" s="11">
        <v>4.9695496599515545E-3</v>
      </c>
      <c r="D242" s="11">
        <v>2.460703381205498E-3</v>
      </c>
      <c r="E242" s="11">
        <v>-4.0984283678569156E-2</v>
      </c>
      <c r="F242" s="11">
        <v>4.083333333333333E-4</v>
      </c>
      <c r="G242" s="11">
        <v>5.6666666666666671E-4</v>
      </c>
      <c r="H242" s="11">
        <v>8.5833333333333334E-4</v>
      </c>
      <c r="I242" s="11">
        <v>1.2158333333333333E-3</v>
      </c>
      <c r="J242" s="11">
        <v>5.7916666666666663E-4</v>
      </c>
      <c r="K242" s="11">
        <v>8.1249999999999996E-4</v>
      </c>
      <c r="L242" s="11">
        <v>1.0966666666666666E-3</v>
      </c>
      <c r="M242" s="11">
        <v>1.4425000000000002E-3</v>
      </c>
      <c r="N242" s="11">
        <v>5.7499999999999999E-4</v>
      </c>
      <c r="O242" s="11">
        <v>6.9083333333333323E-4</v>
      </c>
      <c r="P242" s="11">
        <v>1.7858333333333331E-3</v>
      </c>
      <c r="Q242" s="11">
        <v>7.119166666666666E-3</v>
      </c>
    </row>
    <row r="243" spans="1:17" x14ac:dyDescent="0.25">
      <c r="A243" s="10" t="s">
        <v>241</v>
      </c>
      <c r="B243" s="11">
        <v>1.0144062453890625E-2</v>
      </c>
      <c r="C243" s="11">
        <v>3.6447297948239386E-2</v>
      </c>
      <c r="D243" s="11">
        <v>2.4546631832108298E-2</v>
      </c>
      <c r="E243" s="11">
        <v>-1.5924972812335084E-2</v>
      </c>
      <c r="F243" s="11">
        <v>4.083333333333333E-4</v>
      </c>
      <c r="G243" s="11">
        <v>6.0833333333333334E-4</v>
      </c>
      <c r="H243" s="11">
        <v>8.3333333333333339E-4</v>
      </c>
      <c r="I243" s="11">
        <v>1.2258333333333333E-3</v>
      </c>
      <c r="J243" s="11">
        <v>5.5916666666666669E-4</v>
      </c>
      <c r="K243" s="11">
        <v>8.2916666666666675E-4</v>
      </c>
      <c r="L243" s="11">
        <v>1.1233333333333334E-3</v>
      </c>
      <c r="M243" s="11">
        <v>1.5375E-3</v>
      </c>
      <c r="N243" s="11">
        <v>5.7000000000000009E-4</v>
      </c>
      <c r="O243" s="11">
        <v>6.8166666666666668E-4</v>
      </c>
      <c r="P243" s="11">
        <v>1.7125000000000003E-3</v>
      </c>
      <c r="Q243" s="11">
        <v>7.0325000000000006E-3</v>
      </c>
    </row>
    <row r="244" spans="1:17" x14ac:dyDescent="0.25">
      <c r="A244" s="10" t="s">
        <v>242</v>
      </c>
      <c r="B244" s="11">
        <v>1.2887205415149327E-2</v>
      </c>
      <c r="C244" s="11">
        <v>3.7902153812153228E-2</v>
      </c>
      <c r="D244" s="11">
        <v>7.5619112213125145E-2</v>
      </c>
      <c r="E244" s="11">
        <v>4.6206534345799397E-2</v>
      </c>
      <c r="F244" s="11">
        <v>4.083333333333333E-4</v>
      </c>
      <c r="G244" s="11">
        <v>6.2500000000000001E-4</v>
      </c>
      <c r="H244" s="11">
        <v>8.3333333333333339E-4</v>
      </c>
      <c r="I244" s="11">
        <v>1.4066666666666665E-3</v>
      </c>
      <c r="J244" s="11">
        <v>5.7000000000000009E-4</v>
      </c>
      <c r="K244" s="11">
        <v>9.4416666666666661E-4</v>
      </c>
      <c r="L244" s="11">
        <v>1.2916666666666667E-3</v>
      </c>
      <c r="M244" s="11">
        <v>1.7000000000000001E-3</v>
      </c>
      <c r="N244" s="11">
        <v>5.6749999999999997E-4</v>
      </c>
      <c r="O244" s="11">
        <v>6.8999999999999997E-4</v>
      </c>
      <c r="P244" s="11">
        <v>1.7425000000000001E-3</v>
      </c>
      <c r="Q244" s="11">
        <v>7.0491666666666663E-3</v>
      </c>
    </row>
    <row r="245" spans="1:17" x14ac:dyDescent="0.25">
      <c r="A245" s="10" t="s">
        <v>243</v>
      </c>
      <c r="B245" s="11">
        <v>1.962892193332914E-2</v>
      </c>
      <c r="C245" s="11">
        <v>5.6850029278313126E-2</v>
      </c>
      <c r="D245" s="11">
        <v>8.966994091610743E-2</v>
      </c>
      <c r="E245" s="11">
        <v>2.8530491439806821E-2</v>
      </c>
      <c r="F245" s="11">
        <v>3.9999999999999996E-4</v>
      </c>
      <c r="G245" s="11">
        <v>6.1666666666666673E-4</v>
      </c>
      <c r="H245" s="11">
        <v>8.166666666666666E-4</v>
      </c>
      <c r="I245" s="11">
        <v>1.4466666666666666E-3</v>
      </c>
      <c r="J245" s="11">
        <v>5.4916666666666666E-4</v>
      </c>
      <c r="K245" s="11">
        <v>9.4833333333333325E-4</v>
      </c>
      <c r="L245" s="11">
        <v>1.3141666666666666E-3</v>
      </c>
      <c r="M245" s="11">
        <v>1.7008333333333331E-3</v>
      </c>
      <c r="N245" s="11">
        <v>5.5000000000000003E-4</v>
      </c>
      <c r="O245" s="11">
        <v>6.6083333333333326E-4</v>
      </c>
      <c r="P245" s="11">
        <v>1.6525000000000001E-3</v>
      </c>
      <c r="Q245" s="11">
        <v>6.9591666666666682E-3</v>
      </c>
    </row>
    <row r="246" spans="1:17" x14ac:dyDescent="0.25">
      <c r="A246" s="10" t="s">
        <v>244</v>
      </c>
      <c r="B246" s="11">
        <v>1.3066538090646123E-2</v>
      </c>
      <c r="C246" s="11">
        <v>4.9629041433583009E-2</v>
      </c>
      <c r="D246" s="11">
        <v>2.638194259175063E-2</v>
      </c>
      <c r="E246" s="11">
        <v>-1.6981036148254337E-3</v>
      </c>
      <c r="F246" s="11">
        <v>3.9999999999999996E-4</v>
      </c>
      <c r="G246" s="11">
        <v>5.6666666666666671E-4</v>
      </c>
      <c r="H246" s="11">
        <v>8.0833333333333332E-4</v>
      </c>
      <c r="I246" s="11">
        <v>1.5091666666666667E-3</v>
      </c>
      <c r="J246" s="11">
        <v>5.0916666666666666E-4</v>
      </c>
      <c r="K246" s="11">
        <v>9.4499999999999998E-4</v>
      </c>
      <c r="L246" s="11">
        <v>1.3724999999999998E-3</v>
      </c>
      <c r="M246" s="11">
        <v>1.7758333333333333E-3</v>
      </c>
      <c r="N246" s="11">
        <v>5.3249999999999999E-4</v>
      </c>
      <c r="O246" s="11">
        <v>6.3583333333333341E-4</v>
      </c>
      <c r="P246" s="11">
        <v>1.5758333333333334E-3</v>
      </c>
      <c r="Q246" s="11">
        <v>6.8824999999999997E-3</v>
      </c>
    </row>
    <row r="247" spans="1:17" x14ac:dyDescent="0.25">
      <c r="A247" s="10" t="s">
        <v>245</v>
      </c>
      <c r="B247" s="11">
        <v>2.6148208081481081E-2</v>
      </c>
      <c r="C247" s="11">
        <v>2.560027550853344E-2</v>
      </c>
      <c r="D247" s="11">
        <v>5.436939410580275E-2</v>
      </c>
      <c r="E247" s="11">
        <v>4.9074130660636872E-2</v>
      </c>
      <c r="F247" s="11">
        <v>4.2500000000000003E-4</v>
      </c>
      <c r="G247" s="11">
        <v>5.5000000000000003E-4</v>
      </c>
      <c r="H247" s="11">
        <v>8.0833333333333332E-4</v>
      </c>
      <c r="I247" s="11">
        <v>1.5483333333333332E-3</v>
      </c>
      <c r="J247" s="11">
        <v>6.6500000000000012E-4</v>
      </c>
      <c r="K247" s="11">
        <v>1.085E-3</v>
      </c>
      <c r="L247" s="11">
        <v>1.4175000000000001E-3</v>
      </c>
      <c r="M247" s="11">
        <v>1.7525000000000004E-3</v>
      </c>
      <c r="N247" s="11">
        <v>7.1749999999999993E-4</v>
      </c>
      <c r="O247" s="11">
        <v>8.4833333333333332E-4</v>
      </c>
      <c r="P247" s="11">
        <v>1.5941666666666667E-3</v>
      </c>
      <c r="Q247" s="11">
        <v>6.9083333333333323E-3</v>
      </c>
    </row>
    <row r="248" spans="1:17" x14ac:dyDescent="0.25">
      <c r="A248" s="10" t="s">
        <v>246</v>
      </c>
      <c r="B248" s="11">
        <v>-3.508902123028021E-2</v>
      </c>
      <c r="C248" s="11">
        <v>-6.4708262345076466E-3</v>
      </c>
      <c r="D248" s="11">
        <v>-2.2607560390415355E-2</v>
      </c>
      <c r="E248" s="11">
        <v>1.1456755602159924E-3</v>
      </c>
      <c r="F248" s="11">
        <v>4.4166666666666665E-4</v>
      </c>
      <c r="G248" s="11">
        <v>5.7499999999999999E-4</v>
      </c>
      <c r="H248" s="11">
        <v>8.0833333333333332E-4</v>
      </c>
      <c r="I248" s="11">
        <v>1.5158333333333332E-3</v>
      </c>
      <c r="J248" s="11">
        <v>7.5833333333333341E-4</v>
      </c>
      <c r="K248" s="11">
        <v>1.1825000000000002E-3</v>
      </c>
      <c r="L248" s="11">
        <v>1.405E-3</v>
      </c>
      <c r="M248" s="11">
        <v>1.6466666666666667E-3</v>
      </c>
      <c r="N248" s="11">
        <v>7.7999999999999999E-4</v>
      </c>
      <c r="O248" s="11">
        <v>9.3416666666666659E-4</v>
      </c>
      <c r="P248" s="11">
        <v>1.5733333333333331E-3</v>
      </c>
      <c r="Q248" s="11">
        <v>6.870833333333333E-3</v>
      </c>
    </row>
    <row r="249" spans="1:17" x14ac:dyDescent="0.25">
      <c r="A249" s="10" t="s">
        <v>247</v>
      </c>
      <c r="B249" s="11">
        <v>-8.5208518929173888E-3</v>
      </c>
      <c r="C249" s="11">
        <v>-1.2405394324213443E-2</v>
      </c>
      <c r="D249" s="11">
        <v>-2.4690042275036413E-2</v>
      </c>
      <c r="E249" s="11">
        <v>6.9728649843860454E-3</v>
      </c>
      <c r="F249" s="11">
        <v>4.6666666666666672E-4</v>
      </c>
      <c r="G249" s="11">
        <v>6.4166666666666669E-4</v>
      </c>
      <c r="H249" s="11">
        <v>8.3333333333333339E-4</v>
      </c>
      <c r="I249" s="11">
        <v>1.4874999999999999E-3</v>
      </c>
      <c r="J249" s="11">
        <v>8.3416666666666654E-4</v>
      </c>
      <c r="K249" s="11">
        <v>1.1758333333333334E-3</v>
      </c>
      <c r="L249" s="11">
        <v>1.3775E-3</v>
      </c>
      <c r="M249" s="11">
        <v>1.5875000000000002E-3</v>
      </c>
      <c r="N249" s="11">
        <v>8.3749999999999981E-4</v>
      </c>
      <c r="O249" s="11">
        <v>9.7583333333333333E-4</v>
      </c>
      <c r="P249" s="11">
        <v>1.5316666666666666E-3</v>
      </c>
      <c r="Q249" s="11">
        <v>6.8083333333333329E-3</v>
      </c>
    </row>
    <row r="250" spans="1:17" x14ac:dyDescent="0.25">
      <c r="A250" s="10" t="s">
        <v>248</v>
      </c>
      <c r="B250" s="11">
        <v>-4.6774553246778372E-2</v>
      </c>
      <c r="C250" s="11">
        <v>-4.973435738048892E-3</v>
      </c>
      <c r="D250" s="11">
        <v>9.1170685510307218E-3</v>
      </c>
      <c r="E250" s="11">
        <v>-3.3765758477555252E-2</v>
      </c>
      <c r="F250" s="11">
        <v>6.4166666666666669E-4</v>
      </c>
      <c r="G250" s="11">
        <v>8.166666666666666E-4</v>
      </c>
      <c r="H250" s="11">
        <v>9.5833333333333328E-4</v>
      </c>
      <c r="I250" s="11">
        <v>1.5866666666666666E-3</v>
      </c>
      <c r="J250" s="11">
        <v>8.941666666666667E-4</v>
      </c>
      <c r="K250" s="11">
        <v>1.2625E-3</v>
      </c>
      <c r="L250" s="11">
        <v>1.4883333333333335E-3</v>
      </c>
      <c r="M250" s="11">
        <v>1.7175000000000001E-3</v>
      </c>
      <c r="N250" s="11">
        <v>8.9083333333333332E-4</v>
      </c>
      <c r="O250" s="11">
        <v>1.0708333333333331E-3</v>
      </c>
      <c r="P250" s="11">
        <v>1.6275000000000003E-3</v>
      </c>
      <c r="Q250" s="11">
        <v>6.830833333333332E-3</v>
      </c>
    </row>
    <row r="251" spans="1:17" x14ac:dyDescent="0.25">
      <c r="A251" s="10" t="s">
        <v>249</v>
      </c>
      <c r="B251" s="11">
        <v>-3.1604430926975159E-2</v>
      </c>
      <c r="C251" s="11">
        <v>-3.3147177641019258E-2</v>
      </c>
      <c r="D251" s="11">
        <v>-2.1928003956064583E-2</v>
      </c>
      <c r="E251" s="11">
        <v>-1.0904342799047057E-2</v>
      </c>
      <c r="F251" s="11">
        <v>6.2500000000000001E-4</v>
      </c>
      <c r="G251" s="11">
        <v>9.0000000000000008E-4</v>
      </c>
      <c r="H251" s="11">
        <v>1E-3</v>
      </c>
      <c r="I251" s="11">
        <v>1.8799999999999997E-3</v>
      </c>
      <c r="J251" s="11">
        <v>9.8166666666666649E-4</v>
      </c>
      <c r="K251" s="11">
        <v>1.5350000000000001E-3</v>
      </c>
      <c r="L251" s="11">
        <v>1.7949999999999999E-3</v>
      </c>
      <c r="M251" s="11">
        <v>1.9991666666666669E-3</v>
      </c>
      <c r="N251" s="11">
        <v>1.0033333333333333E-3</v>
      </c>
      <c r="O251" s="11">
        <v>1.1958333333333333E-3</v>
      </c>
      <c r="P251" s="11">
        <v>1.9183333333333333E-3</v>
      </c>
      <c r="Q251" s="11">
        <v>6.9800000000000001E-3</v>
      </c>
    </row>
    <row r="252" spans="1:17" x14ac:dyDescent="0.25">
      <c r="A252" s="10" t="s">
        <v>250</v>
      </c>
      <c r="B252" s="11">
        <v>-3.602165220618618E-2</v>
      </c>
      <c r="C252" s="11">
        <v>-9.8480010963281753E-2</v>
      </c>
      <c r="D252" s="11">
        <v>-0.12808154468424315</v>
      </c>
      <c r="E252" s="11">
        <v>-2.690637187226028E-2</v>
      </c>
      <c r="F252" s="11">
        <v>6.6666666666666664E-4</v>
      </c>
      <c r="G252" s="11">
        <v>9.7499999999999985E-4</v>
      </c>
      <c r="H252" s="11">
        <v>1.1166666666666666E-3</v>
      </c>
      <c r="I252" s="11">
        <v>1.9249999999999998E-3</v>
      </c>
      <c r="J252" s="11">
        <v>1.1158333333333333E-3</v>
      </c>
      <c r="K252" s="11">
        <v>1.6275000000000003E-3</v>
      </c>
      <c r="L252" s="11">
        <v>1.8116666666666665E-3</v>
      </c>
      <c r="M252" s="11">
        <v>1.9625000000000003E-3</v>
      </c>
      <c r="N252" s="11">
        <v>1.1158333333333333E-3</v>
      </c>
      <c r="O252" s="11">
        <v>1.3566666666666666E-3</v>
      </c>
      <c r="P252" s="11">
        <v>2.0766666666666668E-3</v>
      </c>
      <c r="Q252" s="11">
        <v>6.9783333333333338E-3</v>
      </c>
    </row>
    <row r="253" spans="1:17" x14ac:dyDescent="0.25">
      <c r="A253" s="10" t="s">
        <v>251</v>
      </c>
      <c r="B253" s="11">
        <v>5.5154403271853045E-2</v>
      </c>
      <c r="C253" s="11">
        <v>6.6153925766847338E-2</v>
      </c>
      <c r="D253" s="11">
        <v>9.0801737054625881E-2</v>
      </c>
      <c r="E253" s="11">
        <v>7.0782805008129432E-2</v>
      </c>
      <c r="F253" s="11">
        <v>8.5333333333333344E-4</v>
      </c>
      <c r="G253" s="11">
        <v>1.0583333333333332E-3</v>
      </c>
      <c r="H253" s="11">
        <v>1.2833333333333334E-3</v>
      </c>
      <c r="I253" s="11">
        <v>1.7866666666666667E-3</v>
      </c>
      <c r="J253" s="11">
        <v>1.1000000000000001E-3</v>
      </c>
      <c r="K253" s="11">
        <v>1.5000000000000002E-3</v>
      </c>
      <c r="L253" s="11">
        <v>1.6508333333333334E-3</v>
      </c>
      <c r="M253" s="11">
        <v>1.8224999999999997E-3</v>
      </c>
      <c r="N253" s="11">
        <v>1.0975E-3</v>
      </c>
      <c r="O253" s="11">
        <v>1.3783333333333332E-3</v>
      </c>
      <c r="P253" s="11">
        <v>2.0083333333333333E-3</v>
      </c>
      <c r="Q253" s="11">
        <v>6.8858333333333332E-3</v>
      </c>
    </row>
    <row r="254" spans="1:17" x14ac:dyDescent="0.25">
      <c r="A254" s="10" t="s">
        <v>252</v>
      </c>
      <c r="B254" s="11">
        <v>-8.9792532263006014E-2</v>
      </c>
      <c r="C254" s="11">
        <v>-9.6786817213825968E-2</v>
      </c>
      <c r="D254" s="11">
        <v>-8.9439885144442496E-2</v>
      </c>
      <c r="E254" s="11">
        <v>-0.15581539294763924</v>
      </c>
      <c r="F254" s="11">
        <v>9.8416666666666683E-4</v>
      </c>
      <c r="G254" s="11">
        <v>1.1583333333333333E-3</v>
      </c>
      <c r="H254" s="11">
        <v>1.3333333333333333E-3</v>
      </c>
      <c r="I254" s="11">
        <v>2.0133333333333336E-3</v>
      </c>
      <c r="J254" s="11">
        <v>1.1850000000000001E-3</v>
      </c>
      <c r="K254" s="11">
        <v>1.7166666666666667E-3</v>
      </c>
      <c r="L254" s="11">
        <v>1.8991666666666664E-3</v>
      </c>
      <c r="M254" s="11">
        <v>2.0766666666666668E-3</v>
      </c>
      <c r="N254" s="11">
        <v>1.1866666666666666E-3</v>
      </c>
      <c r="O254" s="11">
        <v>1.4516666666666669E-3</v>
      </c>
      <c r="P254" s="11">
        <v>2.1933333333333332E-3</v>
      </c>
      <c r="Q254" s="11">
        <v>7.0883333333333328E-3</v>
      </c>
    </row>
    <row r="255" spans="1:17" x14ac:dyDescent="0.25">
      <c r="A255" s="10" t="s">
        <v>253</v>
      </c>
      <c r="B255" s="11">
        <v>8.0629911730669482E-3</v>
      </c>
      <c r="C255" s="11">
        <v>4.3461175466938978E-2</v>
      </c>
      <c r="D255" s="11">
        <v>5.9523150022372247E-2</v>
      </c>
      <c r="E255" s="11">
        <v>9.3942969743490388E-3</v>
      </c>
      <c r="F255" s="11">
        <v>1.0091666666666667E-3</v>
      </c>
      <c r="G255" s="11">
        <v>1.25E-3</v>
      </c>
      <c r="H255" s="11">
        <v>1.3666666666666664E-3</v>
      </c>
      <c r="I255" s="11">
        <v>2.1933333333333332E-3</v>
      </c>
      <c r="J255" s="11">
        <v>1.2333333333333335E-3</v>
      </c>
      <c r="K255" s="11">
        <v>1.9041666666666669E-3</v>
      </c>
      <c r="L255" s="11">
        <v>2.0791666666666667E-3</v>
      </c>
      <c r="M255" s="11">
        <v>2.2416666666666665E-3</v>
      </c>
      <c r="N255" s="11">
        <v>1.2891666666666665E-3</v>
      </c>
      <c r="O255" s="11">
        <v>1.555E-3</v>
      </c>
      <c r="P255" s="11">
        <v>2.3941666666666668E-3</v>
      </c>
      <c r="Q255" s="11">
        <v>7.2699999999999996E-3</v>
      </c>
    </row>
    <row r="256" spans="1:17" x14ac:dyDescent="0.25">
      <c r="A256" s="10" t="s">
        <v>254</v>
      </c>
      <c r="B256" s="11">
        <v>1.8202963796661031E-2</v>
      </c>
      <c r="C256" s="11">
        <v>2.9992564624996325E-2</v>
      </c>
      <c r="D256" s="11">
        <v>5.3158671616398499E-2</v>
      </c>
      <c r="E256" s="11">
        <v>7.2026059223444128E-2</v>
      </c>
      <c r="F256" s="11">
        <v>1.0416666666666667E-3</v>
      </c>
      <c r="G256" s="11">
        <v>1.25E-3</v>
      </c>
      <c r="H256" s="11">
        <v>1.3666666666666664E-3</v>
      </c>
      <c r="I256" s="11">
        <v>2.2775E-3</v>
      </c>
      <c r="J256" s="11">
        <v>1.3216666666666665E-3</v>
      </c>
      <c r="K256" s="11">
        <v>1.974166666666667E-3</v>
      </c>
      <c r="L256" s="11">
        <v>2.166666666666667E-3</v>
      </c>
      <c r="M256" s="11">
        <v>2.3199999999999996E-3</v>
      </c>
      <c r="N256" s="11">
        <v>1.3191666666666666E-3</v>
      </c>
      <c r="O256" s="11">
        <v>1.6116666666666666E-3</v>
      </c>
      <c r="P256" s="11">
        <v>2.5233333333333336E-3</v>
      </c>
      <c r="Q256" s="11">
        <v>7.3816666666666675E-3</v>
      </c>
    </row>
    <row r="257" spans="1:17" x14ac:dyDescent="0.25">
      <c r="A257" s="10" t="s">
        <v>255</v>
      </c>
      <c r="B257" s="11">
        <v>-2.9001260123359459E-2</v>
      </c>
      <c r="C257" s="11">
        <v>-5.6188377943405428E-3</v>
      </c>
      <c r="D257" s="11">
        <v>3.4871109413786495E-2</v>
      </c>
      <c r="E257" s="11">
        <v>-4.2116184769144416E-2</v>
      </c>
      <c r="F257" s="11">
        <v>1.0808333333333332E-3</v>
      </c>
      <c r="G257" s="11">
        <v>1.3666666666666664E-3</v>
      </c>
      <c r="H257" s="11">
        <v>1.4916666666666665E-3</v>
      </c>
      <c r="I257" s="11">
        <v>2.6849999999999999E-3</v>
      </c>
      <c r="J257" s="11">
        <v>1.6683333333333331E-3</v>
      </c>
      <c r="K257" s="11">
        <v>2.4508333333333331E-3</v>
      </c>
      <c r="L257" s="11">
        <v>2.6166666666666669E-3</v>
      </c>
      <c r="M257" s="11">
        <v>2.6824999999999996E-3</v>
      </c>
      <c r="N257" s="11">
        <v>1.6091666666666667E-3</v>
      </c>
      <c r="O257" s="11">
        <v>1.9091666666666667E-3</v>
      </c>
      <c r="P257" s="11">
        <v>3.0258333333333331E-3</v>
      </c>
      <c r="Q257" s="11">
        <v>7.8925000000000002E-3</v>
      </c>
    </row>
    <row r="258" spans="1:17" x14ac:dyDescent="0.25">
      <c r="A258" s="10" t="s">
        <v>256</v>
      </c>
      <c r="B258" s="11">
        <v>1.1725375762244843E-3</v>
      </c>
      <c r="C258" s="11">
        <v>-1.5867528606492137E-2</v>
      </c>
      <c r="D258" s="11">
        <v>-4.2084131359763216E-2</v>
      </c>
      <c r="E258" s="11">
        <v>-1.2589113014644914E-2</v>
      </c>
      <c r="F258" s="11">
        <v>1.2533333333333333E-3</v>
      </c>
      <c r="G258" s="11">
        <v>1.475E-3</v>
      </c>
      <c r="H258" s="11">
        <v>1.6249999999999999E-3</v>
      </c>
      <c r="I258" s="11">
        <v>2.7399999999999998E-3</v>
      </c>
      <c r="J258" s="11">
        <v>1.7074999999999998E-3</v>
      </c>
      <c r="K258" s="11">
        <v>2.5158333333333335E-3</v>
      </c>
      <c r="L258" s="11">
        <v>2.6891666666666665E-3</v>
      </c>
      <c r="M258" s="11">
        <v>2.7458333333333332E-3</v>
      </c>
      <c r="N258" s="11">
        <v>1.6300000000000002E-3</v>
      </c>
      <c r="O258" s="11">
        <v>1.9850000000000002E-3</v>
      </c>
      <c r="P258" s="11">
        <v>3.1458333333333334E-3</v>
      </c>
      <c r="Q258" s="11">
        <v>8.0149999999999996E-3</v>
      </c>
    </row>
    <row r="259" spans="1:17" x14ac:dyDescent="0.25">
      <c r="A259" s="10" t="s">
        <v>257</v>
      </c>
      <c r="B259" s="11">
        <v>-0.13201561552456031</v>
      </c>
      <c r="C259" s="11">
        <v>-0.12220739075453142</v>
      </c>
      <c r="D259" s="11">
        <v>-0.1470045497097201</v>
      </c>
      <c r="E259" s="11">
        <v>-0.16557714695083725</v>
      </c>
      <c r="F259" s="11">
        <v>1.4591666666666666E-3</v>
      </c>
      <c r="G259" s="11">
        <v>1.6583333333333335E-3</v>
      </c>
      <c r="H259" s="11">
        <v>1.8666666666666669E-3</v>
      </c>
      <c r="I259" s="11">
        <v>3.0875E-3</v>
      </c>
      <c r="J259" s="11">
        <v>2.1658333333333334E-3</v>
      </c>
      <c r="K259" s="11">
        <v>2.8974999999999995E-3</v>
      </c>
      <c r="L259" s="11">
        <v>3.0425000000000001E-3</v>
      </c>
      <c r="M259" s="11">
        <v>3.0333333333333336E-3</v>
      </c>
      <c r="N259" s="11">
        <v>2.0900000000000003E-3</v>
      </c>
      <c r="O259" s="11">
        <v>2.5074999999999997E-3</v>
      </c>
      <c r="P259" s="11">
        <v>3.5274999999999998E-3</v>
      </c>
      <c r="Q259" s="11">
        <v>8.3999999999999995E-3</v>
      </c>
    </row>
    <row r="260" spans="1:17" x14ac:dyDescent="0.25">
      <c r="A260" s="10" t="s">
        <v>258</v>
      </c>
      <c r="B260" s="11">
        <v>5.6294730774773073E-2</v>
      </c>
      <c r="C260" s="11">
        <v>2.0161598376012745E-2</v>
      </c>
      <c r="D260" s="11">
        <v>4.5158930168279113E-2</v>
      </c>
      <c r="E260" s="11">
        <v>7.8047864348572582E-2</v>
      </c>
      <c r="F260" s="11">
        <v>1.6275000000000003E-3</v>
      </c>
      <c r="G260" s="11">
        <v>2.0083333333333333E-3</v>
      </c>
      <c r="H260" s="11">
        <v>2.2000000000000001E-3</v>
      </c>
      <c r="I260" s="11">
        <v>2.8274999999999997E-3</v>
      </c>
      <c r="J260" s="11">
        <v>2.4650000000000002E-3</v>
      </c>
      <c r="K260" s="11">
        <v>2.6983333333333334E-3</v>
      </c>
      <c r="L260" s="11">
        <v>2.7491666666666667E-3</v>
      </c>
      <c r="M260" s="11">
        <v>2.7500000000000003E-3</v>
      </c>
      <c r="N260" s="11">
        <v>2.4633333333333334E-3</v>
      </c>
      <c r="O260" s="11">
        <v>2.9324999999999998E-3</v>
      </c>
      <c r="P260" s="11">
        <v>3.4383333333333336E-3</v>
      </c>
      <c r="Q260" s="11">
        <v>8.313333333333334E-3</v>
      </c>
    </row>
    <row r="261" spans="1:17" x14ac:dyDescent="0.25">
      <c r="A261" s="10" t="s">
        <v>259</v>
      </c>
      <c r="B261" s="11">
        <v>4.8656268473466335E-3</v>
      </c>
      <c r="C261" s="11">
        <v>2.6827520050210225E-2</v>
      </c>
      <c r="D261" s="11">
        <v>1.9294174585272512E-2</v>
      </c>
      <c r="E261" s="11">
        <v>4.255742763992881E-3</v>
      </c>
      <c r="F261" s="11">
        <v>1.8850000000000002E-3</v>
      </c>
      <c r="G261" s="11">
        <v>2.3250000000000002E-3</v>
      </c>
      <c r="H261" s="11">
        <v>2.4250000000000001E-3</v>
      </c>
      <c r="I261" s="11">
        <v>2.8208333333333332E-3</v>
      </c>
      <c r="J261" s="11">
        <v>2.4891666666666669E-3</v>
      </c>
      <c r="K261" s="11">
        <v>2.7058333333333331E-3</v>
      </c>
      <c r="L261" s="11">
        <v>2.7533333333333333E-3</v>
      </c>
      <c r="M261" s="11">
        <v>2.7683333333333331E-3</v>
      </c>
      <c r="N261" s="11">
        <v>2.5058333333333334E-3</v>
      </c>
      <c r="O261" s="11">
        <v>2.8566666666666666E-3</v>
      </c>
      <c r="P261" s="11">
        <v>3.5225E-3</v>
      </c>
      <c r="Q261" s="11">
        <v>8.3983333333333323E-3</v>
      </c>
    </row>
    <row r="262" spans="1:17" x14ac:dyDescent="0.25">
      <c r="A262" s="10" t="s">
        <v>260</v>
      </c>
      <c r="B262" s="11">
        <v>-0.12497634504150947</v>
      </c>
      <c r="C262" s="11">
        <v>-0.13967299197066091</v>
      </c>
      <c r="D262" s="11">
        <v>-0.14614934585937045</v>
      </c>
      <c r="E262" s="11">
        <v>-0.16652210547184773</v>
      </c>
      <c r="F262" s="11">
        <v>2.1125000000000002E-3</v>
      </c>
      <c r="G262" s="11">
        <v>2.5083333333333333E-3</v>
      </c>
      <c r="H262" s="11">
        <v>2.6416666666666667E-3</v>
      </c>
      <c r="I262" s="11">
        <v>3.3558333333333335E-3</v>
      </c>
      <c r="J262" s="11">
        <v>2.7391666666666662E-3</v>
      </c>
      <c r="K262" s="11">
        <v>3.2525000000000002E-3</v>
      </c>
      <c r="L262" s="11">
        <v>3.283333333333333E-3</v>
      </c>
      <c r="M262" s="11">
        <v>3.2475E-3</v>
      </c>
      <c r="N262" s="11">
        <v>2.8308333333333332E-3</v>
      </c>
      <c r="O262" s="11">
        <v>3.225E-3</v>
      </c>
      <c r="P262" s="11">
        <v>4.0833333333333338E-3</v>
      </c>
      <c r="Q262" s="11">
        <v>8.9633333333333336E-3</v>
      </c>
    </row>
    <row r="263" spans="1:17" x14ac:dyDescent="0.25">
      <c r="A263" s="10" t="s">
        <v>261</v>
      </c>
      <c r="B263" s="11">
        <v>7.6060536250758218E-2</v>
      </c>
      <c r="C263" s="11">
        <v>5.7603965671750162E-3</v>
      </c>
      <c r="D263" s="11">
        <v>1.6573323800444923E-2</v>
      </c>
      <c r="E263" s="11">
        <v>3.3717386456552541E-2</v>
      </c>
      <c r="F263" s="11">
        <v>2.430833333333333E-3</v>
      </c>
      <c r="G263" s="11">
        <v>3.075E-3</v>
      </c>
      <c r="H263" s="11">
        <v>3.3499999999999992E-3</v>
      </c>
      <c r="I263" s="11">
        <v>3.7683333333333336E-3</v>
      </c>
      <c r="J263" s="11">
        <v>3.0016666666666664E-3</v>
      </c>
      <c r="K263" s="11">
        <v>3.529166666666667E-3</v>
      </c>
      <c r="L263" s="11">
        <v>3.5716666666666661E-3</v>
      </c>
      <c r="M263" s="11">
        <v>3.555833333333334E-3</v>
      </c>
      <c r="N263" s="11">
        <v>2.9941666666666662E-3</v>
      </c>
      <c r="O263" s="11">
        <v>3.698333333333333E-3</v>
      </c>
      <c r="P263" s="11">
        <v>4.5300000000000002E-3</v>
      </c>
      <c r="Q263" s="11">
        <v>9.4066666666666673E-3</v>
      </c>
    </row>
    <row r="264" spans="1:17" x14ac:dyDescent="0.25">
      <c r="A264" s="10" t="s">
        <v>262</v>
      </c>
      <c r="B264" s="11">
        <v>7.493981483504239E-2</v>
      </c>
      <c r="C264" s="11">
        <v>9.2485340333048296E-2</v>
      </c>
      <c r="D264" s="11">
        <v>9.4932257528840561E-2</v>
      </c>
      <c r="E264" s="11">
        <v>4.9199660592811931E-2</v>
      </c>
      <c r="F264" s="11">
        <v>2.6383333333333332E-3</v>
      </c>
      <c r="G264" s="11">
        <v>3.3250000000000003E-3</v>
      </c>
      <c r="H264" s="11">
        <v>4.3833333333333337E-3</v>
      </c>
      <c r="I264" s="11">
        <v>3.656666666666667E-3</v>
      </c>
      <c r="J264" s="11">
        <v>3.198333333333333E-3</v>
      </c>
      <c r="K264" s="11">
        <v>3.2458333333333332E-3</v>
      </c>
      <c r="L264" s="11">
        <v>3.2883333333333336E-3</v>
      </c>
      <c r="M264" s="11">
        <v>3.2624999999999998E-3</v>
      </c>
      <c r="N264" s="11">
        <v>3.1766666666666666E-3</v>
      </c>
      <c r="O264" s="11">
        <v>4.0408333333333338E-3</v>
      </c>
      <c r="P264" s="11">
        <v>4.5725000000000002E-3</v>
      </c>
      <c r="Q264" s="11">
        <v>9.4424999999999995E-3</v>
      </c>
    </row>
    <row r="265" spans="1:17" x14ac:dyDescent="0.25">
      <c r="A265" s="10" t="s">
        <v>263</v>
      </c>
      <c r="B265" s="11">
        <v>-0.1043982619935048</v>
      </c>
      <c r="C265" s="11">
        <v>-4.5584799188819795E-2</v>
      </c>
      <c r="D265" s="11">
        <v>-6.9206853329645907E-2</v>
      </c>
      <c r="E265" s="11">
        <v>-6.8879019656221729E-2</v>
      </c>
      <c r="F265" s="11">
        <v>2.7775E-3</v>
      </c>
      <c r="G265" s="11">
        <v>3.3499999999999992E-3</v>
      </c>
      <c r="H265" s="11">
        <v>4.5999999999999999E-3</v>
      </c>
      <c r="I265" s="11">
        <v>3.2741666666666665E-3</v>
      </c>
      <c r="J265" s="11">
        <v>3.0875E-3</v>
      </c>
      <c r="K265" s="11">
        <v>3.0249999999999999E-3</v>
      </c>
      <c r="L265" s="11">
        <v>2.99E-3</v>
      </c>
      <c r="M265" s="11">
        <v>2.9508333333333331E-3</v>
      </c>
      <c r="N265" s="11">
        <v>3.1066666666666669E-3</v>
      </c>
      <c r="O265" s="11">
        <v>3.6008333333333331E-3</v>
      </c>
      <c r="P265" s="11">
        <v>4.4183333333333331E-3</v>
      </c>
      <c r="Q265" s="11">
        <v>9.3108333333333324E-3</v>
      </c>
    </row>
    <row r="266" spans="1:17" x14ac:dyDescent="0.25">
      <c r="A266" s="10" t="s">
        <v>264</v>
      </c>
      <c r="B266" s="11">
        <v>9.0313328250372138E-2</v>
      </c>
      <c r="C266" s="11">
        <v>5.5783946910557866E-2</v>
      </c>
      <c r="D266" s="11">
        <v>6.3176912607587357E-2</v>
      </c>
      <c r="E266" s="11">
        <v>9.009406880713694E-2</v>
      </c>
      <c r="F266" s="11">
        <v>2.7483333333333335E-3</v>
      </c>
      <c r="G266" s="11">
        <v>3.1666666666666666E-3</v>
      </c>
      <c r="H266" s="11">
        <v>4.0916666666666671E-3</v>
      </c>
      <c r="I266" s="11">
        <v>3.0358333333333331E-3</v>
      </c>
      <c r="J266" s="11">
        <v>2.986666666666667E-3</v>
      </c>
      <c r="K266" s="11">
        <v>2.8833333333333332E-3</v>
      </c>
      <c r="L266" s="11">
        <v>2.8483333333333334E-3</v>
      </c>
      <c r="M266" s="11">
        <v>2.8425E-3</v>
      </c>
      <c r="N266" s="11">
        <v>2.9633333333333334E-3</v>
      </c>
      <c r="O266" s="11">
        <v>3.1416666666666663E-3</v>
      </c>
      <c r="P266" s="11">
        <v>3.9199999999999999E-3</v>
      </c>
      <c r="Q266" s="11">
        <v>8.9899999999999997E-3</v>
      </c>
    </row>
    <row r="267" spans="1:17" x14ac:dyDescent="0.25">
      <c r="A267" s="10" t="s">
        <v>265</v>
      </c>
      <c r="B267" s="11">
        <v>-6.934616473252133E-3</v>
      </c>
      <c r="C267" s="11">
        <v>-1.3015896164504024E-3</v>
      </c>
      <c r="D267" s="11">
        <v>1.4275346967108381E-2</v>
      </c>
      <c r="E267" s="11">
        <v>6.9021863900930486E-2</v>
      </c>
      <c r="F267" s="11">
        <v>2.8649999999999999E-3</v>
      </c>
      <c r="G267" s="11">
        <v>2.9333333333333334E-3</v>
      </c>
      <c r="H267" s="11">
        <v>3.5250000000000004E-3</v>
      </c>
      <c r="I267" s="11">
        <v>3.0074999999999998E-3</v>
      </c>
      <c r="J267" s="11">
        <v>2.9399999999999999E-3</v>
      </c>
      <c r="K267" s="11">
        <v>2.891666666666667E-3</v>
      </c>
      <c r="L267" s="11">
        <v>2.8924999999999997E-3</v>
      </c>
      <c r="M267" s="11">
        <v>2.8750000000000004E-3</v>
      </c>
      <c r="N267" s="11">
        <v>2.9491666666666672E-3</v>
      </c>
      <c r="O267" s="11">
        <v>3.0325E-3</v>
      </c>
      <c r="P267" s="11">
        <v>3.5616666666666665E-3</v>
      </c>
      <c r="Q267" s="11">
        <v>8.8591666666666662E-3</v>
      </c>
    </row>
    <row r="268" spans="1:17" x14ac:dyDescent="0.25">
      <c r="A268" s="10" t="s">
        <v>266</v>
      </c>
      <c r="B268" s="11">
        <v>2.7362120564343628E-2</v>
      </c>
      <c r="C268" s="11">
        <v>2.8164849245956015E-2</v>
      </c>
      <c r="D268" s="11">
        <v>9.7192224622031781E-3</v>
      </c>
      <c r="E268" s="11">
        <v>7.0641738251642189E-2</v>
      </c>
      <c r="F268" s="11">
        <v>2.8216666666666668E-3</v>
      </c>
      <c r="G268" s="11">
        <v>3.0083333333333333E-3</v>
      </c>
      <c r="H268" s="11">
        <v>3.375E-3</v>
      </c>
      <c r="I268" s="11">
        <v>3.0008333333333332E-3</v>
      </c>
      <c r="J268" s="11">
        <v>2.8766666666666667E-3</v>
      </c>
      <c r="K268" s="11">
        <v>2.8841666666666668E-3</v>
      </c>
      <c r="L268" s="11">
        <v>2.8708333333333333E-3</v>
      </c>
      <c r="M268" s="11">
        <v>2.8733333333333332E-3</v>
      </c>
      <c r="N268" s="11">
        <v>2.901666666666667E-3</v>
      </c>
      <c r="O268" s="11">
        <v>3.055E-3</v>
      </c>
      <c r="P268" s="11">
        <v>3.486666666666667E-3</v>
      </c>
      <c r="Q268" s="11">
        <v>8.8291666666666675E-3</v>
      </c>
    </row>
    <row r="269" spans="1:17" x14ac:dyDescent="0.25">
      <c r="A269" s="10" t="s">
        <v>267</v>
      </c>
      <c r="B269" s="11">
        <v>1.594820200239902E-2</v>
      </c>
      <c r="C269" s="11">
        <v>-3.1544038801582221E-2</v>
      </c>
      <c r="D269" s="11">
        <v>1.9629849695209131E-2</v>
      </c>
      <c r="E269" s="11">
        <v>-5.5337927128562645E-3</v>
      </c>
      <c r="F269" s="11">
        <v>2.8758333333333331E-3</v>
      </c>
      <c r="G269" s="11">
        <v>2.9166666666666668E-3</v>
      </c>
      <c r="H269" s="11">
        <v>3.3416666666666664E-3</v>
      </c>
      <c r="I269" s="11">
        <v>2.835833333333333E-3</v>
      </c>
      <c r="J269" s="11">
        <v>2.7116666666666665E-3</v>
      </c>
      <c r="K269" s="11">
        <v>2.7191666666666666E-3</v>
      </c>
      <c r="L269" s="11">
        <v>2.7108333333333338E-3</v>
      </c>
      <c r="M269" s="11">
        <v>2.7658333333333333E-3</v>
      </c>
      <c r="N269" s="11">
        <v>2.7158333333333336E-3</v>
      </c>
      <c r="O269" s="11">
        <v>2.9066666666666668E-3</v>
      </c>
      <c r="P269" s="11">
        <v>3.3933333333333333E-3</v>
      </c>
      <c r="Q269" s="11">
        <v>8.7150000000000005E-3</v>
      </c>
    </row>
    <row r="270" spans="1:17" x14ac:dyDescent="0.25">
      <c r="A270" s="10" t="s">
        <v>268</v>
      </c>
      <c r="B270" s="11">
        <v>3.6295002309097886E-2</v>
      </c>
      <c r="C270" s="11">
        <v>-4.2382513180374793E-3</v>
      </c>
      <c r="D270" s="11">
        <v>1.5077806315153276E-2</v>
      </c>
      <c r="E270" s="11">
        <v>1.6741217090041897E-2</v>
      </c>
      <c r="F270" s="11">
        <v>2.9858333333333334E-3</v>
      </c>
      <c r="G270" s="11">
        <v>3.0333333333333336E-3</v>
      </c>
      <c r="H270" s="11">
        <v>3.3416666666666664E-3</v>
      </c>
      <c r="I270" s="11">
        <v>2.9491666666666672E-3</v>
      </c>
      <c r="J270" s="11">
        <v>2.8466666666666662E-3</v>
      </c>
      <c r="K270" s="11">
        <v>2.7750000000000001E-3</v>
      </c>
      <c r="L270" s="11">
        <v>2.7691666666666667E-3</v>
      </c>
      <c r="M270" s="11">
        <v>2.8350000000000003E-3</v>
      </c>
      <c r="N270" s="11">
        <v>2.8366666666666666E-3</v>
      </c>
      <c r="O270" s="11">
        <v>3.0458333333333331E-3</v>
      </c>
      <c r="P270" s="11">
        <v>3.4491666666666668E-3</v>
      </c>
      <c r="Q270" s="11">
        <v>8.7699999999999983E-3</v>
      </c>
    </row>
    <row r="271" spans="1:17" x14ac:dyDescent="0.25">
      <c r="A271" s="10" t="s">
        <v>269</v>
      </c>
      <c r="B271" s="11">
        <v>-9.5794274819514802E-3</v>
      </c>
      <c r="C271" s="11">
        <v>1.4503052305245205E-2</v>
      </c>
      <c r="D271" s="11">
        <v>1.953154900109726E-2</v>
      </c>
      <c r="E271" s="11">
        <v>1.3186454127476783E-2</v>
      </c>
      <c r="F271" s="11">
        <v>2.97E-3</v>
      </c>
      <c r="G271" s="11">
        <v>3.1249999999999997E-3</v>
      </c>
      <c r="H271" s="11">
        <v>3.3416666666666664E-3</v>
      </c>
      <c r="I271" s="11">
        <v>3.1350000000000002E-3</v>
      </c>
      <c r="J271" s="11">
        <v>2.9258333333333337E-3</v>
      </c>
      <c r="K271" s="11">
        <v>2.9566666666666665E-3</v>
      </c>
      <c r="L271" s="11">
        <v>2.9600000000000004E-3</v>
      </c>
      <c r="M271" s="11">
        <v>3.0091666666666669E-3</v>
      </c>
      <c r="N271" s="11">
        <v>2.9508333333333331E-3</v>
      </c>
      <c r="O271" s="11">
        <v>3.1675000000000002E-3</v>
      </c>
      <c r="P271" s="11">
        <v>3.63E-3</v>
      </c>
      <c r="Q271" s="11">
        <v>8.9533333333333322E-3</v>
      </c>
    </row>
    <row r="272" spans="1:17" x14ac:dyDescent="0.25">
      <c r="A272" s="10" t="s">
        <v>270</v>
      </c>
      <c r="B272" s="11">
        <v>2.6993399352847135E-2</v>
      </c>
      <c r="C272" s="11">
        <v>3.6423420448070544E-2</v>
      </c>
      <c r="D272" s="11">
        <v>-2.7361721118995957E-3</v>
      </c>
      <c r="E272" s="11">
        <v>7.8008384778402301E-2</v>
      </c>
      <c r="F272" s="11">
        <v>2.9250000000000001E-3</v>
      </c>
      <c r="G272" s="11">
        <v>3.1249999999999997E-3</v>
      </c>
      <c r="H272" s="11">
        <v>3.3583333333333334E-3</v>
      </c>
      <c r="I272" s="11">
        <v>3.2150000000000004E-3</v>
      </c>
      <c r="J272" s="11">
        <v>2.9749999999999998E-3</v>
      </c>
      <c r="K272" s="11">
        <v>3.0316666666666665E-3</v>
      </c>
      <c r="L272" s="11">
        <v>3.0333333333333336E-3</v>
      </c>
      <c r="M272" s="11">
        <v>3.0675000000000003E-3</v>
      </c>
      <c r="N272" s="11">
        <v>3.0016666666666664E-3</v>
      </c>
      <c r="O272" s="11">
        <v>3.1891666666666665E-3</v>
      </c>
      <c r="P272" s="11">
        <v>3.6974999999999998E-3</v>
      </c>
      <c r="Q272" s="11">
        <v>9.0241666666666682E-3</v>
      </c>
    </row>
    <row r="273" spans="1:17" x14ac:dyDescent="0.25">
      <c r="A273" s="10" t="s">
        <v>271</v>
      </c>
      <c r="B273" s="11">
        <v>-3.332444376714426E-2</v>
      </c>
      <c r="C273" s="11">
        <v>-1.1902385729743441E-2</v>
      </c>
      <c r="D273" s="11">
        <v>6.2234676592986512E-3</v>
      </c>
      <c r="E273" s="11">
        <v>-8.0878660640833037E-3</v>
      </c>
      <c r="F273" s="11">
        <v>2.9491666666666672E-3</v>
      </c>
      <c r="G273" s="11">
        <v>3.0833333333333338E-3</v>
      </c>
      <c r="H273" s="11">
        <v>3.3583333333333334E-3</v>
      </c>
      <c r="I273" s="11">
        <v>3.3341666666666671E-3</v>
      </c>
      <c r="J273" s="11">
        <v>2.9133333333333333E-3</v>
      </c>
      <c r="K273" s="11">
        <v>3.1058333333333333E-3</v>
      </c>
      <c r="L273" s="11">
        <v>3.1424999999999999E-3</v>
      </c>
      <c r="M273" s="11">
        <v>3.2166666666666663E-3</v>
      </c>
      <c r="N273" s="11">
        <v>2.9949999999999998E-3</v>
      </c>
      <c r="O273" s="11">
        <v>3.1825E-3</v>
      </c>
      <c r="P273" s="11">
        <v>3.7499999999999999E-3</v>
      </c>
      <c r="Q273" s="11">
        <v>9.0916666666666663E-3</v>
      </c>
    </row>
    <row r="274" spans="1:17" x14ac:dyDescent="0.25">
      <c r="A274" s="10" t="s">
        <v>272</v>
      </c>
      <c r="B274" s="11">
        <v>-3.361013348677537E-2</v>
      </c>
      <c r="C274" s="11">
        <v>-3.7820635494411184E-2</v>
      </c>
      <c r="D274" s="11">
        <v>-5.7144519770723629E-2</v>
      </c>
      <c r="E274" s="11">
        <v>-9.4118914261094352E-2</v>
      </c>
      <c r="F274" s="11">
        <v>2.9958333333333334E-3</v>
      </c>
      <c r="G274" s="11">
        <v>3.133333333333333E-3</v>
      </c>
      <c r="H274" s="11">
        <v>3.375E-3</v>
      </c>
      <c r="I274" s="11">
        <v>3.4508333333333335E-3</v>
      </c>
      <c r="J274" s="11">
        <v>3.0083333333333333E-3</v>
      </c>
      <c r="K274" s="11">
        <v>3.2016666666666669E-3</v>
      </c>
      <c r="L274" s="11">
        <v>3.2341666666666664E-3</v>
      </c>
      <c r="M274" s="11">
        <v>3.2908333333333331E-3</v>
      </c>
      <c r="N274" s="11">
        <v>3.0425000000000001E-3</v>
      </c>
      <c r="O274" s="11">
        <v>3.2866666666666669E-3</v>
      </c>
      <c r="P274" s="11">
        <v>3.8350000000000003E-3</v>
      </c>
      <c r="Q274" s="11">
        <v>9.1850000000000005E-3</v>
      </c>
    </row>
    <row r="275" spans="1:17" x14ac:dyDescent="0.25">
      <c r="A275" s="10" t="s">
        <v>273</v>
      </c>
      <c r="B275" s="11">
        <v>-7.7420933504618636E-2</v>
      </c>
      <c r="C275" s="11">
        <v>-7.01799618419017E-2</v>
      </c>
      <c r="D275" s="11">
        <v>-5.4475720237176679E-2</v>
      </c>
      <c r="E275" s="11">
        <v>-0.1247532757841668</v>
      </c>
      <c r="F275" s="11">
        <v>2.9316666666666662E-3</v>
      </c>
      <c r="G275" s="11">
        <v>3.1833333333333332E-3</v>
      </c>
      <c r="H275" s="11">
        <v>3.5083333333333334E-3</v>
      </c>
      <c r="I275" s="11">
        <v>3.7374999999999999E-3</v>
      </c>
      <c r="J275" s="11">
        <v>3.1175E-3</v>
      </c>
      <c r="K275" s="11">
        <v>3.3591666666666666E-3</v>
      </c>
      <c r="L275" s="11">
        <v>3.4516666666666671E-3</v>
      </c>
      <c r="M275" s="11">
        <v>3.5600000000000002E-3</v>
      </c>
      <c r="N275" s="11">
        <v>3.1208333333333335E-3</v>
      </c>
      <c r="O275" s="11">
        <v>3.3891666666666671E-3</v>
      </c>
      <c r="P275" s="11">
        <v>4.0225E-3</v>
      </c>
      <c r="Q275" s="11">
        <v>9.3516666666666661E-3</v>
      </c>
    </row>
    <row r="276" spans="1:17" x14ac:dyDescent="0.25">
      <c r="A276" s="10" t="s">
        <v>274</v>
      </c>
      <c r="B276" s="11">
        <v>0.11424226751716245</v>
      </c>
      <c r="C276" s="11">
        <v>8.4983838255799193E-2</v>
      </c>
      <c r="D276" s="11">
        <v>5.8486185063269698E-2</v>
      </c>
      <c r="E276" s="11">
        <v>0.12984648824887912</v>
      </c>
      <c r="F276" s="11">
        <v>2.9741666666666666E-3</v>
      </c>
      <c r="G276" s="11">
        <v>3.1916666666666669E-3</v>
      </c>
      <c r="H276" s="11">
        <v>3.6333333333333335E-3</v>
      </c>
      <c r="I276" s="11">
        <v>3.430833333333333E-3</v>
      </c>
      <c r="J276" s="11">
        <v>3.1016666666666671E-3</v>
      </c>
      <c r="K276" s="11">
        <v>3.1424999999999999E-3</v>
      </c>
      <c r="L276" s="11">
        <v>3.1816666666666664E-3</v>
      </c>
      <c r="M276" s="11">
        <v>3.241666666666667E-3</v>
      </c>
      <c r="N276" s="11">
        <v>3.0725000000000001E-3</v>
      </c>
      <c r="O276" s="11">
        <v>3.3608333333333337E-3</v>
      </c>
      <c r="P276" s="11">
        <v>3.8191666666666669E-3</v>
      </c>
      <c r="Q276" s="11">
        <v>9.148333333333333E-3</v>
      </c>
    </row>
    <row r="277" spans="1:17" x14ac:dyDescent="0.25">
      <c r="A277" s="10" t="s">
        <v>275</v>
      </c>
      <c r="B277" s="11">
        <v>5.1558129847459992E-2</v>
      </c>
      <c r="C277" s="11">
        <v>1.7404035019824637E-2</v>
      </c>
      <c r="D277" s="11">
        <v>7.122657715992315E-3</v>
      </c>
      <c r="E277" s="11">
        <v>4.1951231242785811E-2</v>
      </c>
      <c r="F277" s="11">
        <v>3.0291666666666666E-3</v>
      </c>
      <c r="G277" s="11">
        <v>3.1916666666666669E-3</v>
      </c>
      <c r="H277" s="11">
        <v>3.6166666666666669E-3</v>
      </c>
      <c r="I277" s="11">
        <v>3.0300000000000001E-3</v>
      </c>
      <c r="J277" s="11">
        <v>2.9299999999999999E-3</v>
      </c>
      <c r="K277" s="11">
        <v>2.7916666666666667E-3</v>
      </c>
      <c r="L277" s="11">
        <v>2.8091666666666664E-3</v>
      </c>
      <c r="M277" s="11">
        <v>2.8458333333333335E-3</v>
      </c>
      <c r="N277" s="11">
        <v>2.9158333333333332E-3</v>
      </c>
      <c r="O277" s="11">
        <v>3.1491666666666664E-3</v>
      </c>
      <c r="P277" s="11">
        <v>3.3966666666666663E-3</v>
      </c>
      <c r="Q277" s="11">
        <v>8.7741666666666662E-3</v>
      </c>
    </row>
  </sheetData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0D9B4-66F6-4AA8-AF45-43613B3981A0}">
  <dimension ref="A1:K27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9.109375" defaultRowHeight="13.2" x14ac:dyDescent="0.25"/>
  <cols>
    <col min="1" max="1" width="9.109375" style="9"/>
    <col min="2" max="3" width="15.5546875" style="9" customWidth="1"/>
    <col min="4" max="4" width="2.5546875" style="9" customWidth="1"/>
    <col min="5" max="7" width="20.5546875" style="9" customWidth="1"/>
    <col min="8" max="8" width="2.5546875" style="9" customWidth="1"/>
    <col min="9" max="11" width="20.5546875" style="9" customWidth="1"/>
    <col min="12" max="16384" width="9.109375" style="9"/>
  </cols>
  <sheetData>
    <row r="1" spans="1:11" ht="36" customHeight="1" x14ac:dyDescent="0.25">
      <c r="A1" s="9" t="s">
        <v>276</v>
      </c>
      <c r="B1" s="12" t="s">
        <v>310</v>
      </c>
      <c r="C1" s="13" t="s">
        <v>311</v>
      </c>
    </row>
    <row r="2" spans="1:11" x14ac:dyDescent="0.25">
      <c r="A2" s="10" t="s">
        <v>0</v>
      </c>
      <c r="B2" s="11">
        <v>0.60441232407759626</v>
      </c>
      <c r="C2" s="11">
        <v>4.9916666666666668E-3</v>
      </c>
    </row>
    <row r="3" spans="1:11" x14ac:dyDescent="0.25">
      <c r="A3" s="10" t="s">
        <v>1</v>
      </c>
      <c r="B3" s="11">
        <v>-9.0090090090090086E-2</v>
      </c>
      <c r="C3" s="11">
        <v>4.5249999999999995E-3</v>
      </c>
      <c r="E3" s="29" t="s">
        <v>349</v>
      </c>
      <c r="F3" s="30" t="s">
        <v>310</v>
      </c>
      <c r="G3" s="29" t="s">
        <v>328</v>
      </c>
      <c r="I3" s="29" t="s">
        <v>348</v>
      </c>
      <c r="J3" s="29" t="s">
        <v>345</v>
      </c>
      <c r="K3" s="29" t="s">
        <v>346</v>
      </c>
    </row>
    <row r="4" spans="1:11" x14ac:dyDescent="0.25">
      <c r="A4" s="10" t="s">
        <v>2</v>
      </c>
      <c r="B4" s="11">
        <v>-0.10852006253256913</v>
      </c>
      <c r="C4" s="11">
        <v>4.8666666666666667E-3</v>
      </c>
      <c r="E4" s="9" t="s">
        <v>283</v>
      </c>
      <c r="F4" s="11">
        <f>AVERAGE(B2:B277)</f>
        <v>3.3934064266709078E-2</v>
      </c>
      <c r="G4" s="11">
        <f>AVERAGE(C2:C277)</f>
        <v>2.8054800724637658E-3</v>
      </c>
      <c r="H4" s="11"/>
      <c r="I4" s="9" t="s">
        <v>283</v>
      </c>
      <c r="J4" s="28">
        <v>0.15</v>
      </c>
      <c r="K4" s="28">
        <v>0.05</v>
      </c>
    </row>
    <row r="5" spans="1:11" x14ac:dyDescent="0.25">
      <c r="A5" s="10" t="s">
        <v>3</v>
      </c>
      <c r="B5" s="11">
        <v>0.15402601198304852</v>
      </c>
      <c r="C5" s="11">
        <v>5.4916666666666664E-3</v>
      </c>
      <c r="E5" s="9" t="s">
        <v>287</v>
      </c>
      <c r="F5" s="11">
        <f>STDEV(B2:B277)</f>
        <v>0.54094483848578567</v>
      </c>
      <c r="G5" s="11">
        <f>STDEV(C2:C277)</f>
        <v>1.239266593760007E-3</v>
      </c>
      <c r="H5" s="11"/>
      <c r="I5" s="9" t="s">
        <v>287</v>
      </c>
      <c r="J5" s="28">
        <v>0.5</v>
      </c>
      <c r="K5" s="11"/>
    </row>
    <row r="6" spans="1:11" x14ac:dyDescent="0.25">
      <c r="A6" s="10" t="s">
        <v>4</v>
      </c>
      <c r="B6" s="11">
        <v>3.0138027098898255E-2</v>
      </c>
      <c r="C6" s="11">
        <v>5.3833333333333337E-3</v>
      </c>
      <c r="E6" s="9" t="s">
        <v>300</v>
      </c>
      <c r="F6" s="11">
        <f>CORREL(B2:B277,C2:C277)</f>
        <v>4.4666863497163568E-2</v>
      </c>
      <c r="I6" s="9" t="s">
        <v>329</v>
      </c>
      <c r="J6" s="11">
        <f>(J4-K4)/J5</f>
        <v>0.19999999999999998</v>
      </c>
      <c r="K6" s="11"/>
    </row>
    <row r="7" spans="1:11" x14ac:dyDescent="0.25">
      <c r="A7" s="10" t="s">
        <v>5</v>
      </c>
      <c r="B7" s="11">
        <v>-5.5070682237246413E-2</v>
      </c>
      <c r="C7" s="11">
        <v>5.0333333333333332E-3</v>
      </c>
      <c r="E7" s="9" t="s">
        <v>329</v>
      </c>
      <c r="F7" s="11">
        <f>(F4-G4)/F5</f>
        <v>5.7544840027276223E-2</v>
      </c>
    </row>
    <row r="8" spans="1:11" x14ac:dyDescent="0.25">
      <c r="A8" s="10" t="s">
        <v>6</v>
      </c>
      <c r="B8" s="11">
        <v>-0.11421881097957599</v>
      </c>
      <c r="C8" s="11">
        <v>4.7916666666666672E-3</v>
      </c>
    </row>
    <row r="9" spans="1:11" x14ac:dyDescent="0.25">
      <c r="A9" s="10" t="s">
        <v>7</v>
      </c>
      <c r="B9" s="11">
        <v>-9.1790277573799386E-2</v>
      </c>
      <c r="C9" s="11">
        <v>4.2916666666666667E-3</v>
      </c>
      <c r="E9" s="27" t="s">
        <v>342</v>
      </c>
      <c r="F9" s="27" t="s">
        <v>343</v>
      </c>
      <c r="G9" s="27" t="s">
        <v>344</v>
      </c>
      <c r="I9" s="27" t="s">
        <v>347</v>
      </c>
      <c r="J9" s="27" t="s">
        <v>343</v>
      </c>
      <c r="K9" s="27" t="s">
        <v>344</v>
      </c>
    </row>
    <row r="10" spans="1:11" x14ac:dyDescent="0.25">
      <c r="A10" s="10" t="s">
        <v>8</v>
      </c>
      <c r="B10" s="11">
        <v>-0.16494178525226391</v>
      </c>
      <c r="C10" s="11">
        <v>4.0749999999999996E-3</v>
      </c>
      <c r="E10" s="25">
        <v>0</v>
      </c>
      <c r="F10" s="26">
        <f>E10*$F$4+(1-E10)*$G$4</f>
        <v>2.8054800724637658E-3</v>
      </c>
      <c r="G10" s="26">
        <f t="shared" ref="G10:G25" si="0">SQRT(E10^2*$F$5^2+(1-E10)^2*$G$5^2+2*E10*(1-E10)*$F$6*$F$5*$G$5)</f>
        <v>1.239266593760007E-3</v>
      </c>
      <c r="I10" s="25">
        <v>0</v>
      </c>
      <c r="J10" s="26">
        <f>I10*$J$4+(1-I10)*$K$4</f>
        <v>0.05</v>
      </c>
      <c r="K10" s="26">
        <f>I10*$J$5</f>
        <v>0</v>
      </c>
    </row>
    <row r="11" spans="1:11" x14ac:dyDescent="0.25">
      <c r="A11" s="10" t="s">
        <v>9</v>
      </c>
      <c r="B11" s="11">
        <v>0.2112703330751356</v>
      </c>
      <c r="C11" s="11">
        <v>3.9500000000000004E-3</v>
      </c>
      <c r="E11" s="24">
        <v>0.1</v>
      </c>
      <c r="F11" s="11">
        <f t="shared" ref="F11:F25" si="1">E11*$F$4+(1-E11)*$G$4</f>
        <v>5.9183384918882979E-3</v>
      </c>
      <c r="G11" s="11">
        <f t="shared" si="0"/>
        <v>5.4155766116807114E-2</v>
      </c>
      <c r="I11" s="24">
        <v>0.1</v>
      </c>
      <c r="J11" s="11">
        <f t="shared" ref="J11:J25" si="2">I11*$J$4+(1-I11)*$K$4</f>
        <v>6.0000000000000005E-2</v>
      </c>
      <c r="K11" s="11">
        <f t="shared" ref="K11:K25" si="3">I11*$J$5</f>
        <v>0.05</v>
      </c>
    </row>
    <row r="12" spans="1:11" x14ac:dyDescent="0.25">
      <c r="A12" s="10" t="s">
        <v>10</v>
      </c>
      <c r="B12" s="11">
        <v>0.12741806554756202</v>
      </c>
      <c r="C12" s="11">
        <v>4.45E-3</v>
      </c>
      <c r="E12" s="24">
        <v>0.2</v>
      </c>
      <c r="F12" s="11">
        <f t="shared" si="1"/>
        <v>9.031196911312829E-3</v>
      </c>
      <c r="G12" s="11">
        <f t="shared" si="0"/>
        <v>0.10823778252218821</v>
      </c>
      <c r="I12" s="24">
        <v>0.2</v>
      </c>
      <c r="J12" s="11">
        <f t="shared" si="2"/>
        <v>7.0000000000000007E-2</v>
      </c>
      <c r="K12" s="11">
        <f t="shared" si="3"/>
        <v>0.1</v>
      </c>
    </row>
    <row r="13" spans="1:11" x14ac:dyDescent="0.25">
      <c r="A13" s="10" t="s">
        <v>11</v>
      </c>
      <c r="B13" s="11">
        <v>2.3964832671582496E-2</v>
      </c>
      <c r="C13" s="11">
        <v>4.9416666666666663E-3</v>
      </c>
      <c r="E13" s="24">
        <v>0.3</v>
      </c>
      <c r="F13" s="11">
        <f t="shared" si="1"/>
        <v>1.214405533073736E-2</v>
      </c>
      <c r="G13" s="11">
        <f t="shared" si="0"/>
        <v>0.1623245128332656</v>
      </c>
      <c r="I13" s="24">
        <v>0.3</v>
      </c>
      <c r="J13" s="11">
        <f t="shared" si="2"/>
        <v>7.9999999999999988E-2</v>
      </c>
      <c r="K13" s="11">
        <f t="shared" si="3"/>
        <v>0.15</v>
      </c>
    </row>
    <row r="14" spans="1:11" x14ac:dyDescent="0.25">
      <c r="A14" s="10" t="s">
        <v>12</v>
      </c>
      <c r="B14" s="11">
        <v>7.1319761805844067E-2</v>
      </c>
      <c r="C14" s="11">
        <v>5.0666666666666664E-3</v>
      </c>
      <c r="E14" s="24">
        <v>0.4</v>
      </c>
      <c r="F14" s="11">
        <f t="shared" si="1"/>
        <v>1.5256913750161891E-2</v>
      </c>
      <c r="G14" s="11">
        <f t="shared" si="0"/>
        <v>0.21641242271969463</v>
      </c>
      <c r="I14" s="24">
        <v>0.4</v>
      </c>
      <c r="J14" s="11">
        <f t="shared" si="2"/>
        <v>0.09</v>
      </c>
      <c r="K14" s="11">
        <f t="shared" si="3"/>
        <v>0.2</v>
      </c>
    </row>
    <row r="15" spans="1:11" x14ac:dyDescent="0.25">
      <c r="A15" s="10" t="s">
        <v>13</v>
      </c>
      <c r="B15" s="11">
        <v>1.7450879007238882E-2</v>
      </c>
      <c r="C15" s="11">
        <v>4.9333333333333338E-3</v>
      </c>
      <c r="E15" s="24">
        <v>0.5</v>
      </c>
      <c r="F15" s="11">
        <f t="shared" si="1"/>
        <v>1.8369772169586421E-2</v>
      </c>
      <c r="G15" s="11">
        <f t="shared" si="0"/>
        <v>0.27050080459745934</v>
      </c>
      <c r="I15" s="24">
        <v>0.5</v>
      </c>
      <c r="J15" s="11">
        <f t="shared" si="2"/>
        <v>0.1</v>
      </c>
      <c r="K15" s="11">
        <f t="shared" si="3"/>
        <v>0.25</v>
      </c>
    </row>
    <row r="16" spans="1:11" x14ac:dyDescent="0.25">
      <c r="A16" s="10" t="s">
        <v>14</v>
      </c>
      <c r="B16" s="11">
        <v>0.17812222081057036</v>
      </c>
      <c r="C16" s="11">
        <v>5.2500000000000003E-3</v>
      </c>
      <c r="E16" s="24">
        <v>0.6</v>
      </c>
      <c r="F16" s="11">
        <f t="shared" si="1"/>
        <v>2.1482630589010954E-2</v>
      </c>
      <c r="G16" s="11">
        <f t="shared" si="0"/>
        <v>0.32458942251396955</v>
      </c>
      <c r="I16" s="24">
        <v>0.6</v>
      </c>
      <c r="J16" s="11">
        <f t="shared" si="2"/>
        <v>0.11</v>
      </c>
      <c r="K16" s="11">
        <f t="shared" si="3"/>
        <v>0.3</v>
      </c>
    </row>
    <row r="17" spans="1:11" x14ac:dyDescent="0.25">
      <c r="A17" s="10" t="s">
        <v>15</v>
      </c>
      <c r="B17" s="11">
        <v>-0.20910169308745818</v>
      </c>
      <c r="C17" s="11">
        <v>5.3916666666666661E-3</v>
      </c>
      <c r="E17" s="24">
        <v>0.7</v>
      </c>
      <c r="F17" s="11">
        <f t="shared" si="1"/>
        <v>2.4595489008435483E-2</v>
      </c>
      <c r="G17" s="11">
        <f t="shared" si="0"/>
        <v>0.3786781753252304</v>
      </c>
      <c r="I17" s="24">
        <v>0.7</v>
      </c>
      <c r="J17" s="11">
        <f t="shared" si="2"/>
        <v>0.12</v>
      </c>
      <c r="K17" s="11">
        <f t="shared" si="3"/>
        <v>0.35</v>
      </c>
    </row>
    <row r="18" spans="1:11" x14ac:dyDescent="0.25">
      <c r="A18" s="10" t="s">
        <v>16</v>
      </c>
      <c r="B18" s="11">
        <v>-4.8541041723479714E-2</v>
      </c>
      <c r="C18" s="11">
        <v>5.2500000000000003E-3</v>
      </c>
      <c r="E18" s="24">
        <v>0.8</v>
      </c>
      <c r="F18" s="11">
        <f t="shared" si="1"/>
        <v>2.7708347427860019E-2</v>
      </c>
      <c r="G18" s="11">
        <f t="shared" si="0"/>
        <v>0.43276701245237481</v>
      </c>
      <c r="I18" s="24">
        <v>0.8</v>
      </c>
      <c r="J18" s="11">
        <f t="shared" si="2"/>
        <v>0.13</v>
      </c>
      <c r="K18" s="11">
        <f t="shared" si="3"/>
        <v>0.4</v>
      </c>
    </row>
    <row r="19" spans="1:11" x14ac:dyDescent="0.25">
      <c r="A19" s="10" t="s">
        <v>17</v>
      </c>
      <c r="B19" s="11">
        <v>-0.12797363141301227</v>
      </c>
      <c r="C19" s="11">
        <v>4.9416666666666663E-3</v>
      </c>
      <c r="E19" s="24">
        <v>0.9</v>
      </c>
      <c r="F19" s="11">
        <f t="shared" si="1"/>
        <v>3.0821205847284545E-2</v>
      </c>
      <c r="G19" s="11">
        <f t="shared" si="0"/>
        <v>0.48685590579336324</v>
      </c>
      <c r="I19" s="24">
        <v>0.9</v>
      </c>
      <c r="J19" s="11">
        <f t="shared" si="2"/>
        <v>0.14000000000000001</v>
      </c>
      <c r="K19" s="11">
        <f t="shared" si="3"/>
        <v>0.45</v>
      </c>
    </row>
    <row r="20" spans="1:11" x14ac:dyDescent="0.25">
      <c r="A20" s="10" t="s">
        <v>18</v>
      </c>
      <c r="B20" s="11">
        <v>-3.664749383730477E-2</v>
      </c>
      <c r="C20" s="11">
        <v>4.7499999999999999E-3</v>
      </c>
      <c r="E20" s="25">
        <v>1</v>
      </c>
      <c r="F20" s="26">
        <f t="shared" si="1"/>
        <v>3.3934064266709078E-2</v>
      </c>
      <c r="G20" s="26">
        <f t="shared" si="0"/>
        <v>0.54094483848578567</v>
      </c>
      <c r="I20" s="25">
        <v>1</v>
      </c>
      <c r="J20" s="26">
        <f t="shared" si="2"/>
        <v>0.15</v>
      </c>
      <c r="K20" s="26">
        <f t="shared" si="3"/>
        <v>0.5</v>
      </c>
    </row>
    <row r="21" spans="1:11" x14ac:dyDescent="0.25">
      <c r="A21" s="10" t="s">
        <v>19</v>
      </c>
      <c r="B21" s="11">
        <v>8.3589218696690157E-3</v>
      </c>
      <c r="C21" s="11">
        <v>4.4749999999999998E-3</v>
      </c>
      <c r="E21" s="24">
        <v>1.1000000000000001</v>
      </c>
      <c r="F21" s="11">
        <f t="shared" si="1"/>
        <v>3.7046922686133611E-2</v>
      </c>
      <c r="G21" s="11">
        <f t="shared" si="0"/>
        <v>0.59503379979843474</v>
      </c>
      <c r="I21" s="24">
        <v>1.1000000000000001</v>
      </c>
      <c r="J21" s="11">
        <f t="shared" si="2"/>
        <v>0.16</v>
      </c>
      <c r="K21" s="11">
        <f t="shared" si="3"/>
        <v>0.55000000000000004</v>
      </c>
    </row>
    <row r="22" spans="1:11" x14ac:dyDescent="0.25">
      <c r="A22" s="10" t="s">
        <v>20</v>
      </c>
      <c r="B22" s="11">
        <v>-0.20977837929284385</v>
      </c>
      <c r="C22" s="11">
        <v>4.4749999999999998E-3</v>
      </c>
      <c r="E22" s="24">
        <v>1.2</v>
      </c>
      <c r="F22" s="11">
        <f t="shared" si="1"/>
        <v>4.0159781105558144E-2</v>
      </c>
      <c r="G22" s="11">
        <f t="shared" si="0"/>
        <v>0.64912278257686251</v>
      </c>
      <c r="I22" s="24">
        <v>1.2</v>
      </c>
      <c r="J22" s="11">
        <f t="shared" si="2"/>
        <v>0.16999999999999998</v>
      </c>
      <c r="K22" s="11">
        <f t="shared" si="3"/>
        <v>0.6</v>
      </c>
    </row>
    <row r="23" spans="1:11" x14ac:dyDescent="0.25">
      <c r="A23" s="10" t="s">
        <v>21</v>
      </c>
      <c r="B23" s="11">
        <v>2.868764718475696E-2</v>
      </c>
      <c r="C23" s="11">
        <v>4.4916666666666664E-3</v>
      </c>
      <c r="E23" s="24">
        <v>1.3</v>
      </c>
      <c r="F23" s="11">
        <f t="shared" si="1"/>
        <v>4.3272639524982677E-2</v>
      </c>
      <c r="G23" s="11">
        <f t="shared" si="0"/>
        <v>0.70321178186781563</v>
      </c>
      <c r="I23" s="24">
        <v>1.3</v>
      </c>
      <c r="J23" s="11">
        <f t="shared" si="2"/>
        <v>0.18</v>
      </c>
      <c r="K23" s="11">
        <f t="shared" si="3"/>
        <v>0.65</v>
      </c>
    </row>
    <row r="24" spans="1:11" x14ac:dyDescent="0.25">
      <c r="A24" s="10" t="s">
        <v>22</v>
      </c>
      <c r="B24" s="11">
        <v>8.0124869927159212E-2</v>
      </c>
      <c r="C24" s="11">
        <v>4.4083333333333335E-3</v>
      </c>
      <c r="E24" s="24">
        <v>1.4</v>
      </c>
      <c r="F24" s="11">
        <f t="shared" si="1"/>
        <v>4.6385497944407203E-2</v>
      </c>
      <c r="G24" s="11">
        <f t="shared" si="0"/>
        <v>0.75730079413315154</v>
      </c>
      <c r="I24" s="24">
        <v>1.4</v>
      </c>
      <c r="J24" s="11">
        <f t="shared" si="2"/>
        <v>0.19</v>
      </c>
      <c r="K24" s="11">
        <f t="shared" si="3"/>
        <v>0.7</v>
      </c>
    </row>
    <row r="25" spans="1:11" x14ac:dyDescent="0.25">
      <c r="A25" s="10" t="s">
        <v>23</v>
      </c>
      <c r="B25" s="11">
        <v>-0.14527938342967239</v>
      </c>
      <c r="C25" s="11">
        <v>4.4000000000000003E-3</v>
      </c>
      <c r="E25" s="24">
        <v>1.5</v>
      </c>
      <c r="F25" s="11">
        <f t="shared" si="1"/>
        <v>4.9498356363831729E-2</v>
      </c>
      <c r="G25" s="11">
        <f t="shared" si="0"/>
        <v>0.81138981677816857</v>
      </c>
      <c r="I25" s="24">
        <v>1.5</v>
      </c>
      <c r="J25" s="11">
        <f t="shared" si="2"/>
        <v>0.19999999999999998</v>
      </c>
      <c r="K25" s="11">
        <f t="shared" si="3"/>
        <v>0.75</v>
      </c>
    </row>
    <row r="26" spans="1:11" x14ac:dyDescent="0.25">
      <c r="A26" s="10" t="s">
        <v>24</v>
      </c>
      <c r="B26" s="11">
        <v>-0.9021866546438233</v>
      </c>
      <c r="C26" s="11">
        <v>4.1333333333333335E-3</v>
      </c>
    </row>
    <row r="27" spans="1:11" x14ac:dyDescent="0.25">
      <c r="A27" s="10" t="s">
        <v>25</v>
      </c>
      <c r="B27" s="11">
        <v>-3.7105323807328866E-2</v>
      </c>
      <c r="C27" s="11">
        <v>3.9416666666666671E-3</v>
      </c>
    </row>
    <row r="28" spans="1:11" x14ac:dyDescent="0.25">
      <c r="A28" s="10" t="s">
        <v>26</v>
      </c>
      <c r="B28" s="11">
        <v>-9.5978937290569596E-2</v>
      </c>
      <c r="C28" s="11">
        <v>3.9833333333333335E-3</v>
      </c>
    </row>
    <row r="29" spans="1:11" x14ac:dyDescent="0.25">
      <c r="A29" s="10" t="s">
        <v>27</v>
      </c>
      <c r="B29" s="11">
        <v>0.13317447709822594</v>
      </c>
      <c r="C29" s="11">
        <v>3.8333333333333331E-3</v>
      </c>
    </row>
    <row r="30" spans="1:11" x14ac:dyDescent="0.25">
      <c r="A30" s="10" t="s">
        <v>28</v>
      </c>
      <c r="B30" s="11">
        <v>0.1023364485981309</v>
      </c>
      <c r="C30" s="11">
        <v>3.5583333333333331E-3</v>
      </c>
    </row>
    <row r="31" spans="1:11" x14ac:dyDescent="0.25">
      <c r="A31" s="10" t="s">
        <v>29</v>
      </c>
      <c r="B31" s="11">
        <v>5.4472233997456557E-2</v>
      </c>
      <c r="C31" s="11">
        <v>3.3916666666666665E-3</v>
      </c>
    </row>
    <row r="32" spans="1:11" x14ac:dyDescent="0.25">
      <c r="A32" s="10" t="s">
        <v>30</v>
      </c>
      <c r="B32" s="11">
        <v>-8.4422110552764169E-3</v>
      </c>
      <c r="C32" s="11">
        <v>3.6416666666666667E-3</v>
      </c>
    </row>
    <row r="33" spans="1:3" x14ac:dyDescent="0.25">
      <c r="A33" s="10" t="s">
        <v>31</v>
      </c>
      <c r="B33" s="11">
        <v>4.2570443948915645E-3</v>
      </c>
      <c r="C33" s="11">
        <v>3.8499999999999997E-3</v>
      </c>
    </row>
    <row r="34" spans="1:3" x14ac:dyDescent="0.25">
      <c r="A34" s="10" t="s">
        <v>32</v>
      </c>
      <c r="B34" s="11">
        <v>-9.4469115865966888E-2</v>
      </c>
      <c r="C34" s="11">
        <v>3.5416666666666669E-3</v>
      </c>
    </row>
    <row r="35" spans="1:3" x14ac:dyDescent="0.25">
      <c r="A35" s="10" t="s">
        <v>33</v>
      </c>
      <c r="B35" s="11">
        <v>3.3883192153366097E-2</v>
      </c>
      <c r="C35" s="11">
        <v>3.5666666666666672E-3</v>
      </c>
    </row>
    <row r="36" spans="1:3" x14ac:dyDescent="0.25">
      <c r="A36" s="10" t="s">
        <v>34</v>
      </c>
      <c r="B36" s="11">
        <v>-1.164294954721861E-2</v>
      </c>
      <c r="C36" s="11">
        <v>3.9749999999999994E-3</v>
      </c>
    </row>
    <row r="37" spans="1:3" x14ac:dyDescent="0.25">
      <c r="A37" s="10" t="s">
        <v>35</v>
      </c>
      <c r="B37" s="11">
        <v>-2.1160558464223513E-2</v>
      </c>
      <c r="C37" s="11">
        <v>4.0583333333333331E-3</v>
      </c>
    </row>
    <row r="38" spans="1:3" x14ac:dyDescent="0.25">
      <c r="A38" s="10" t="s">
        <v>36</v>
      </c>
      <c r="B38" s="11">
        <v>8.8384221083129049</v>
      </c>
      <c r="C38" s="11">
        <v>4.0666666666666663E-3</v>
      </c>
    </row>
    <row r="39" spans="1:3" x14ac:dyDescent="0.25">
      <c r="A39" s="10" t="s">
        <v>37</v>
      </c>
      <c r="B39" s="11">
        <v>-2.8927398346358549E-2</v>
      </c>
      <c r="C39" s="11">
        <v>4.0249999999999999E-3</v>
      </c>
    </row>
    <row r="40" spans="1:3" x14ac:dyDescent="0.25">
      <c r="A40" s="10" t="s">
        <v>38</v>
      </c>
      <c r="B40" s="11">
        <v>1.2783428198189834E-2</v>
      </c>
      <c r="C40" s="11">
        <v>3.8166666666666666E-3</v>
      </c>
    </row>
    <row r="41" spans="1:3" x14ac:dyDescent="0.25">
      <c r="A41" s="10" t="s">
        <v>39</v>
      </c>
      <c r="B41" s="11">
        <v>4.4476690620969234E-2</v>
      </c>
      <c r="C41" s="11">
        <v>3.7833333333333334E-3</v>
      </c>
    </row>
    <row r="42" spans="1:3" x14ac:dyDescent="0.25">
      <c r="A42" s="10" t="s">
        <v>40</v>
      </c>
      <c r="B42" s="11">
        <v>-0.1158841819745518</v>
      </c>
      <c r="C42" s="11">
        <v>3.6583333333333329E-3</v>
      </c>
    </row>
    <row r="43" spans="1:3" x14ac:dyDescent="0.25">
      <c r="A43" s="10" t="s">
        <v>41</v>
      </c>
      <c r="B43" s="11">
        <v>-3.9259702683827218E-2</v>
      </c>
      <c r="C43" s="11">
        <v>3.5666666666666672E-3</v>
      </c>
    </row>
    <row r="44" spans="1:3" x14ac:dyDescent="0.25">
      <c r="A44" s="10" t="s">
        <v>42</v>
      </c>
      <c r="B44" s="11">
        <v>-0.1401163092580093</v>
      </c>
      <c r="C44" s="11">
        <v>3.4916666666666672E-3</v>
      </c>
    </row>
    <row r="45" spans="1:3" x14ac:dyDescent="0.25">
      <c r="A45" s="10" t="s">
        <v>43</v>
      </c>
      <c r="B45" s="11">
        <v>7.3820234896289499E-2</v>
      </c>
      <c r="C45" s="11">
        <v>3.1833333333333332E-3</v>
      </c>
    </row>
    <row r="46" spans="1:3" x14ac:dyDescent="0.25">
      <c r="A46" s="10" t="s">
        <v>44</v>
      </c>
      <c r="B46" s="11">
        <v>1.8050947534161723E-2</v>
      </c>
      <c r="C46" s="11">
        <v>2.9916666666666668E-3</v>
      </c>
    </row>
    <row r="47" spans="1:3" x14ac:dyDescent="0.25">
      <c r="A47" s="10" t="s">
        <v>45</v>
      </c>
      <c r="B47" s="11">
        <v>-1.3919575784356947E-2</v>
      </c>
      <c r="C47" s="11">
        <v>2.9499999999999999E-3</v>
      </c>
    </row>
    <row r="48" spans="1:3" x14ac:dyDescent="0.25">
      <c r="A48" s="10" t="s">
        <v>46</v>
      </c>
      <c r="B48" s="11">
        <v>4.5905220703562587E-2</v>
      </c>
      <c r="C48" s="11">
        <v>2.8500000000000001E-3</v>
      </c>
    </row>
    <row r="49" spans="1:3" x14ac:dyDescent="0.25">
      <c r="A49" s="10" t="s">
        <v>47</v>
      </c>
      <c r="B49" s="11">
        <v>1.8477358541091976E-2</v>
      </c>
      <c r="C49" s="11">
        <v>2.7333333333333328E-3</v>
      </c>
    </row>
    <row r="50" spans="1:3" x14ac:dyDescent="0.25">
      <c r="A50" s="10" t="s">
        <v>48</v>
      </c>
      <c r="B50" s="11">
        <v>0.24352535955617494</v>
      </c>
      <c r="C50" s="11">
        <v>3.0416666666666665E-3</v>
      </c>
    </row>
    <row r="51" spans="1:3" x14ac:dyDescent="0.25">
      <c r="A51" s="10" t="s">
        <v>49</v>
      </c>
      <c r="B51" s="11">
        <v>5.3768897346442558E-2</v>
      </c>
      <c r="C51" s="11">
        <v>3.4916666666666672E-3</v>
      </c>
    </row>
    <row r="52" spans="1:3" x14ac:dyDescent="0.25">
      <c r="A52" s="10" t="s">
        <v>50</v>
      </c>
      <c r="B52" s="11">
        <v>-8.6981821100365231E-2</v>
      </c>
      <c r="C52" s="11">
        <v>3.3666666666666667E-3</v>
      </c>
    </row>
    <row r="53" spans="1:3" x14ac:dyDescent="0.25">
      <c r="A53" s="10" t="s">
        <v>51</v>
      </c>
      <c r="B53" s="11">
        <v>-6.7314243016943928E-2</v>
      </c>
      <c r="C53" s="11">
        <v>3.2166666666666663E-3</v>
      </c>
    </row>
    <row r="54" spans="1:3" x14ac:dyDescent="0.25">
      <c r="A54" s="10" t="s">
        <v>52</v>
      </c>
      <c r="B54" s="11">
        <v>0.11093308199811509</v>
      </c>
      <c r="C54" s="11">
        <v>3.0916666666666666E-3</v>
      </c>
    </row>
    <row r="55" spans="1:3" x14ac:dyDescent="0.25">
      <c r="A55" s="10" t="s">
        <v>53</v>
      </c>
      <c r="B55" s="11">
        <v>6.7298718927632048E-2</v>
      </c>
      <c r="C55" s="11">
        <v>3.1583333333333337E-3</v>
      </c>
    </row>
    <row r="56" spans="1:3" x14ac:dyDescent="0.25">
      <c r="A56" s="10" t="s">
        <v>54</v>
      </c>
      <c r="B56" s="11">
        <v>8.6385405695435249E-2</v>
      </c>
      <c r="C56" s="11">
        <v>3.4333333333333334E-3</v>
      </c>
    </row>
    <row r="57" spans="1:3" x14ac:dyDescent="0.25">
      <c r="A57" s="10" t="s">
        <v>55</v>
      </c>
      <c r="B57" s="11">
        <v>-7.8162727738347787E-2</v>
      </c>
      <c r="C57" s="11">
        <v>3.6083333333333332E-3</v>
      </c>
    </row>
    <row r="58" spans="1:3" x14ac:dyDescent="0.25">
      <c r="A58" s="10" t="s">
        <v>56</v>
      </c>
      <c r="B58" s="11">
        <v>0.13493402123226522</v>
      </c>
      <c r="C58" s="11">
        <v>3.7666666666666664E-3</v>
      </c>
    </row>
    <row r="59" spans="1:3" x14ac:dyDescent="0.25">
      <c r="A59" s="10" t="s">
        <v>57</v>
      </c>
      <c r="B59" s="11">
        <v>2.7117755048518211E-2</v>
      </c>
      <c r="C59" s="11">
        <v>4.0083333333333334E-3</v>
      </c>
    </row>
    <row r="60" spans="1:3" x14ac:dyDescent="0.25">
      <c r="A60" s="10" t="s">
        <v>58</v>
      </c>
      <c r="B60" s="11">
        <v>0.21266128757702643</v>
      </c>
      <c r="C60" s="11">
        <v>4.2499999999999994E-3</v>
      </c>
    </row>
    <row r="61" spans="1:3" x14ac:dyDescent="0.25">
      <c r="A61" s="10" t="s">
        <v>59</v>
      </c>
      <c r="B61" s="11">
        <v>-1.4879490166902992E-2</v>
      </c>
      <c r="C61" s="11">
        <v>4.2166666666666663E-3</v>
      </c>
    </row>
    <row r="62" spans="1:3" x14ac:dyDescent="0.25">
      <c r="A62" s="10" t="s">
        <v>60</v>
      </c>
      <c r="B62" s="11">
        <v>-1.6457914760825823E-2</v>
      </c>
      <c r="C62" s="11">
        <v>4.1833333333333332E-3</v>
      </c>
    </row>
    <row r="63" spans="1:3" x14ac:dyDescent="0.25">
      <c r="A63" s="10" t="s">
        <v>61</v>
      </c>
      <c r="B63" s="11">
        <v>-1.1416318961520623E-2</v>
      </c>
      <c r="C63" s="11">
        <v>4.0583333333333331E-3</v>
      </c>
    </row>
    <row r="64" spans="1:3" x14ac:dyDescent="0.25">
      <c r="A64" s="10" t="s">
        <v>62</v>
      </c>
      <c r="B64" s="11">
        <v>-2.5133360689372147E-2</v>
      </c>
      <c r="C64" s="11">
        <v>4.1083333333333328E-3</v>
      </c>
    </row>
    <row r="65" spans="1:3" x14ac:dyDescent="0.25">
      <c r="A65" s="10" t="s">
        <v>63</v>
      </c>
      <c r="B65" s="11">
        <v>3.0411449016100205E-2</v>
      </c>
      <c r="C65" s="11">
        <v>4.1250000000000002E-3</v>
      </c>
    </row>
    <row r="66" spans="1:3" x14ac:dyDescent="0.25">
      <c r="A66" s="10" t="s">
        <v>64</v>
      </c>
      <c r="B66" s="11">
        <v>-8.0152894491129861E-2</v>
      </c>
      <c r="C66" s="11">
        <v>3.9833333333333335E-3</v>
      </c>
    </row>
    <row r="67" spans="1:3" x14ac:dyDescent="0.25">
      <c r="A67" s="10" t="s">
        <v>65</v>
      </c>
      <c r="B67" s="11">
        <v>-6.3156225218080966E-2</v>
      </c>
      <c r="C67" s="11">
        <v>4.0749999999999996E-3</v>
      </c>
    </row>
    <row r="68" spans="1:3" x14ac:dyDescent="0.25">
      <c r="A68" s="10" t="s">
        <v>66</v>
      </c>
      <c r="B68" s="11">
        <v>-5.5901672648472921E-2</v>
      </c>
      <c r="C68" s="11">
        <v>4.0749999999999996E-3</v>
      </c>
    </row>
    <row r="69" spans="1:3" x14ac:dyDescent="0.25">
      <c r="A69" s="10" t="s">
        <v>67</v>
      </c>
      <c r="B69" s="11">
        <v>2.7202955205681011E-2</v>
      </c>
      <c r="C69" s="11">
        <v>3.9749999999999994E-3</v>
      </c>
    </row>
    <row r="70" spans="1:3" x14ac:dyDescent="0.25">
      <c r="A70" s="10" t="s">
        <v>68</v>
      </c>
      <c r="B70" s="11">
        <v>4.8164376865736637E-2</v>
      </c>
      <c r="C70" s="11">
        <v>3.908333333333334E-3</v>
      </c>
    </row>
    <row r="71" spans="1:3" x14ac:dyDescent="0.25">
      <c r="A71" s="10" t="s">
        <v>69</v>
      </c>
      <c r="B71" s="11">
        <v>-2.3849971686486022E-2</v>
      </c>
      <c r="C71" s="11">
        <v>3.8499999999999997E-3</v>
      </c>
    </row>
    <row r="72" spans="1:3" x14ac:dyDescent="0.25">
      <c r="A72" s="10" t="s">
        <v>70</v>
      </c>
      <c r="B72" s="11">
        <v>6.1542398908036061E-2</v>
      </c>
      <c r="C72" s="11">
        <v>3.933333333333333E-3</v>
      </c>
    </row>
    <row r="73" spans="1:3" x14ac:dyDescent="0.25">
      <c r="A73" s="10" t="s">
        <v>71</v>
      </c>
      <c r="B73" s="11">
        <v>-2.574858961377113E-2</v>
      </c>
      <c r="C73" s="11">
        <v>4.0166666666666666E-3</v>
      </c>
    </row>
    <row r="74" spans="1:3" x14ac:dyDescent="0.25">
      <c r="A74" s="10" t="s">
        <v>72</v>
      </c>
      <c r="B74" s="11">
        <v>-4.9129753361379154E-2</v>
      </c>
      <c r="C74" s="11">
        <v>4.1416666666666659E-3</v>
      </c>
    </row>
    <row r="75" spans="1:3" x14ac:dyDescent="0.25">
      <c r="A75" s="10" t="s">
        <v>73</v>
      </c>
      <c r="B75" s="11">
        <v>4.2611516907541933E-2</v>
      </c>
      <c r="C75" s="11">
        <v>4.0916666666666671E-3</v>
      </c>
    </row>
    <row r="76" spans="1:3" x14ac:dyDescent="0.25">
      <c r="A76" s="10" t="s">
        <v>74</v>
      </c>
      <c r="B76" s="11">
        <v>7.9976037142429346E-2</v>
      </c>
      <c r="C76" s="11">
        <v>3.9916666666666668E-3</v>
      </c>
    </row>
    <row r="77" spans="1:3" x14ac:dyDescent="0.25">
      <c r="A77" s="10" t="s">
        <v>75</v>
      </c>
      <c r="B77" s="11">
        <v>4.1433612228231539E-2</v>
      </c>
      <c r="C77" s="11">
        <v>4.1166666666666669E-3</v>
      </c>
    </row>
    <row r="78" spans="1:3" x14ac:dyDescent="0.25">
      <c r="A78" s="10" t="s">
        <v>76</v>
      </c>
      <c r="B78" s="11">
        <v>0.10651299047168138</v>
      </c>
      <c r="C78" s="11">
        <v>4.2499999999999994E-3</v>
      </c>
    </row>
    <row r="79" spans="1:3" x14ac:dyDescent="0.25">
      <c r="A79" s="10" t="s">
        <v>77</v>
      </c>
      <c r="B79" s="11">
        <v>4.1210370786366683E-2</v>
      </c>
      <c r="C79" s="11">
        <v>4.3666666666666671E-3</v>
      </c>
    </row>
    <row r="80" spans="1:3" x14ac:dyDescent="0.25">
      <c r="A80" s="10" t="s">
        <v>78</v>
      </c>
      <c r="B80" s="11">
        <v>4.2160551695796689E-2</v>
      </c>
      <c r="C80" s="11">
        <v>4.4583333333333332E-3</v>
      </c>
    </row>
    <row r="81" spans="1:3" x14ac:dyDescent="0.25">
      <c r="A81" s="10" t="s">
        <v>79</v>
      </c>
      <c r="B81" s="11">
        <v>-4.4841778391167174E-2</v>
      </c>
      <c r="C81" s="11">
        <v>4.4000000000000003E-3</v>
      </c>
    </row>
    <row r="82" spans="1:3" x14ac:dyDescent="0.25">
      <c r="A82" s="10" t="s">
        <v>80</v>
      </c>
      <c r="B82" s="11">
        <v>2.5066762994594392E-2</v>
      </c>
      <c r="C82" s="11">
        <v>4.4916666666666664E-3</v>
      </c>
    </row>
    <row r="83" spans="1:3" x14ac:dyDescent="0.25">
      <c r="A83" s="10" t="s">
        <v>81</v>
      </c>
      <c r="B83" s="11">
        <v>1.9520237615787486E-2</v>
      </c>
      <c r="C83" s="11">
        <v>4.5166666666666662E-3</v>
      </c>
    </row>
    <row r="84" spans="1:3" x14ac:dyDescent="0.25">
      <c r="A84" s="10" t="s">
        <v>82</v>
      </c>
      <c r="B84" s="11">
        <v>-8.4227288999716085E-2</v>
      </c>
      <c r="C84" s="11">
        <v>4.6166666666666665E-3</v>
      </c>
    </row>
    <row r="85" spans="1:3" x14ac:dyDescent="0.25">
      <c r="A85" s="10" t="s">
        <v>83</v>
      </c>
      <c r="B85" s="11">
        <v>-5.0698263776555605E-2</v>
      </c>
      <c r="C85" s="11">
        <v>4.9083333333333331E-3</v>
      </c>
    </row>
    <row r="86" spans="1:3" x14ac:dyDescent="0.25">
      <c r="A86" s="10" t="s">
        <v>84</v>
      </c>
      <c r="B86" s="11">
        <v>-0.1354529060108203</v>
      </c>
      <c r="C86" s="11">
        <v>4.5333333333333337E-3</v>
      </c>
    </row>
    <row r="87" spans="1:3" x14ac:dyDescent="0.25">
      <c r="A87" s="10" t="s">
        <v>85</v>
      </c>
      <c r="B87" s="11">
        <v>7.7360226003547763E-2</v>
      </c>
      <c r="C87" s="11">
        <v>4.2166666666666663E-3</v>
      </c>
    </row>
    <row r="88" spans="1:3" x14ac:dyDescent="0.25">
      <c r="A88" s="10" t="s">
        <v>86</v>
      </c>
      <c r="B88" s="11">
        <v>-1.7516846052992665E-2</v>
      </c>
      <c r="C88" s="11">
        <v>4.2916666666666667E-3</v>
      </c>
    </row>
    <row r="89" spans="1:3" x14ac:dyDescent="0.25">
      <c r="A89" s="10" t="s">
        <v>87</v>
      </c>
      <c r="B89" s="11">
        <v>3.987896656063211E-3</v>
      </c>
      <c r="C89" s="11">
        <v>4.15E-3</v>
      </c>
    </row>
    <row r="90" spans="1:3" x14ac:dyDescent="0.25">
      <c r="A90" s="10" t="s">
        <v>88</v>
      </c>
      <c r="B90" s="11">
        <v>7.9286575376340696E-3</v>
      </c>
      <c r="C90" s="11">
        <v>4.4000000000000003E-3</v>
      </c>
    </row>
    <row r="91" spans="1:3" x14ac:dyDescent="0.25">
      <c r="A91" s="10" t="s">
        <v>89</v>
      </c>
      <c r="B91" s="11">
        <v>-9.5008816989956182E-2</v>
      </c>
      <c r="C91" s="11">
        <v>4.7499999999999999E-3</v>
      </c>
    </row>
    <row r="92" spans="1:3" x14ac:dyDescent="0.25">
      <c r="A92" s="10" t="s">
        <v>90</v>
      </c>
      <c r="B92" s="11">
        <v>-8.598925769667394E-2</v>
      </c>
      <c r="C92" s="11">
        <v>4.966666666666667E-3</v>
      </c>
    </row>
    <row r="93" spans="1:3" x14ac:dyDescent="0.25">
      <c r="A93" s="10" t="s">
        <v>91</v>
      </c>
      <c r="B93" s="11">
        <v>-0.12820702951208673</v>
      </c>
      <c r="C93" s="11">
        <v>4.8083333333333329E-3</v>
      </c>
    </row>
    <row r="94" spans="1:3" x14ac:dyDescent="0.25">
      <c r="A94" s="10" t="s">
        <v>92</v>
      </c>
      <c r="B94" s="11">
        <v>-6.2749851152504879E-2</v>
      </c>
      <c r="C94" s="11">
        <v>4.8416666666666669E-3</v>
      </c>
    </row>
    <row r="95" spans="1:3" x14ac:dyDescent="0.25">
      <c r="A95" s="10" t="s">
        <v>93</v>
      </c>
      <c r="B95" s="11">
        <v>-0.30115479728656674</v>
      </c>
      <c r="C95" s="11">
        <v>4.241666666666667E-3</v>
      </c>
    </row>
    <row r="96" spans="1:3" x14ac:dyDescent="0.25">
      <c r="A96" s="10" t="s">
        <v>94</v>
      </c>
      <c r="B96" s="11">
        <v>-1.7855403694443871E-3</v>
      </c>
      <c r="C96" s="11">
        <v>4.1416666666666659E-3</v>
      </c>
    </row>
    <row r="97" spans="1:3" x14ac:dyDescent="0.25">
      <c r="A97" s="10" t="s">
        <v>95</v>
      </c>
      <c r="B97" s="11">
        <v>7.9907636269025598E-2</v>
      </c>
      <c r="C97" s="11">
        <v>3.3083333333333333E-3</v>
      </c>
    </row>
    <row r="98" spans="1:3" x14ac:dyDescent="0.25">
      <c r="A98" s="10" t="s">
        <v>96</v>
      </c>
      <c r="B98" s="11">
        <v>9.893088390302654E-2</v>
      </c>
      <c r="C98" s="11">
        <v>2.8666666666666667E-3</v>
      </c>
    </row>
    <row r="99" spans="1:3" x14ac:dyDescent="0.25">
      <c r="A99" s="10" t="s">
        <v>97</v>
      </c>
      <c r="B99" s="11">
        <v>-4.6314058646204376E-3</v>
      </c>
      <c r="C99" s="11">
        <v>3.15E-3</v>
      </c>
    </row>
    <row r="100" spans="1:3" x14ac:dyDescent="0.25">
      <c r="A100" s="10" t="s">
        <v>98</v>
      </c>
      <c r="B100" s="11">
        <v>0.1603204757578261</v>
      </c>
      <c r="C100" s="11">
        <v>3.075E-3</v>
      </c>
    </row>
    <row r="101" spans="1:3" x14ac:dyDescent="0.25">
      <c r="A101" s="10" t="s">
        <v>99</v>
      </c>
      <c r="B101" s="11">
        <v>0.18873386484434326</v>
      </c>
      <c r="C101" s="11">
        <v>3.133333333333333E-3</v>
      </c>
    </row>
    <row r="102" spans="1:3" x14ac:dyDescent="0.25">
      <c r="A102" s="10" t="s">
        <v>100</v>
      </c>
      <c r="B102" s="11">
        <v>5.553115892850001E-2</v>
      </c>
      <c r="C102" s="11">
        <v>3.1916666666666669E-3</v>
      </c>
    </row>
    <row r="103" spans="1:3" x14ac:dyDescent="0.25">
      <c r="A103" s="10" t="s">
        <v>101</v>
      </c>
      <c r="B103" s="11">
        <v>-8.2545385779122502E-2</v>
      </c>
      <c r="C103" s="11">
        <v>3.4083333333333331E-3</v>
      </c>
    </row>
    <row r="104" spans="1:3" x14ac:dyDescent="0.25">
      <c r="A104" s="10" t="s">
        <v>102</v>
      </c>
      <c r="B104" s="11">
        <v>3.9575389054931562E-2</v>
      </c>
      <c r="C104" s="11">
        <v>3.4083333333333331E-3</v>
      </c>
    </row>
    <row r="105" spans="1:3" x14ac:dyDescent="0.25">
      <c r="A105" s="10" t="s">
        <v>103</v>
      </c>
      <c r="B105" s="11">
        <v>2.0521463269554917E-2</v>
      </c>
      <c r="C105" s="11">
        <v>3.6833333333333332E-3</v>
      </c>
    </row>
    <row r="106" spans="1:3" x14ac:dyDescent="0.25">
      <c r="A106" s="10" t="s">
        <v>104</v>
      </c>
      <c r="B106" s="11">
        <v>-1.7019623081406737E-2</v>
      </c>
      <c r="C106" s="11">
        <v>3.666666666666667E-3</v>
      </c>
    </row>
    <row r="107" spans="1:3" x14ac:dyDescent="0.25">
      <c r="A107" s="10" t="s">
        <v>105</v>
      </c>
      <c r="B107" s="11">
        <v>-3.8502589239830846E-2</v>
      </c>
      <c r="C107" s="11">
        <v>3.7249999999999996E-3</v>
      </c>
    </row>
    <row r="108" spans="1:3" x14ac:dyDescent="0.25">
      <c r="A108" s="10" t="s">
        <v>106</v>
      </c>
      <c r="B108" s="11">
        <v>-4.5512477901574616E-2</v>
      </c>
      <c r="C108" s="11">
        <v>3.6000000000000003E-3</v>
      </c>
    </row>
    <row r="109" spans="1:3" x14ac:dyDescent="0.25">
      <c r="A109" s="10" t="s">
        <v>107</v>
      </c>
      <c r="B109" s="11">
        <v>0.10606909028256388</v>
      </c>
      <c r="C109" s="11">
        <v>3.5333333333333332E-3</v>
      </c>
    </row>
    <row r="110" spans="1:3" x14ac:dyDescent="0.25">
      <c r="A110" s="10" t="s">
        <v>108</v>
      </c>
      <c r="B110" s="11">
        <v>-3.3101621979477101E-2</v>
      </c>
      <c r="C110" s="11">
        <v>3.5750000000000001E-3</v>
      </c>
    </row>
    <row r="111" spans="1:3" x14ac:dyDescent="0.25">
      <c r="A111" s="10" t="s">
        <v>109</v>
      </c>
      <c r="B111" s="11">
        <v>2.1064502487061199E-2</v>
      </c>
      <c r="C111" s="11">
        <v>3.4916666666666672E-3</v>
      </c>
    </row>
    <row r="112" spans="1:3" x14ac:dyDescent="0.25">
      <c r="A112" s="10" t="s">
        <v>110</v>
      </c>
      <c r="B112" s="11">
        <v>1.7178470701930924E-2</v>
      </c>
      <c r="C112" s="11">
        <v>3.283333333333333E-3</v>
      </c>
    </row>
    <row r="113" spans="1:3" x14ac:dyDescent="0.25">
      <c r="A113" s="10" t="s">
        <v>111</v>
      </c>
      <c r="B113" s="11">
        <v>1.5531081552720346E-2</v>
      </c>
      <c r="C113" s="11">
        <v>3.1416666666666663E-3</v>
      </c>
    </row>
    <row r="114" spans="1:3" x14ac:dyDescent="0.25">
      <c r="A114" s="10" t="s">
        <v>112</v>
      </c>
      <c r="B114" s="11">
        <v>-6.5546539379474911E-2</v>
      </c>
      <c r="C114" s="11">
        <v>3.0833333333333338E-3</v>
      </c>
    </row>
    <row r="115" spans="1:3" x14ac:dyDescent="0.25">
      <c r="A115" s="10" t="s">
        <v>113</v>
      </c>
      <c r="B115" s="11">
        <v>1.1442115156716159E-3</v>
      </c>
      <c r="C115" s="11">
        <v>3.1249999999999997E-3</v>
      </c>
    </row>
    <row r="116" spans="1:3" x14ac:dyDescent="0.25">
      <c r="A116" s="10" t="s">
        <v>114</v>
      </c>
      <c r="B116" s="11">
        <v>-1.7408873831585021E-2</v>
      </c>
      <c r="C116" s="11">
        <v>3.2333333333333333E-3</v>
      </c>
    </row>
    <row r="117" spans="1:3" x14ac:dyDescent="0.25">
      <c r="A117" s="10" t="s">
        <v>115</v>
      </c>
      <c r="B117" s="11">
        <v>-3.4769965728528425E-2</v>
      </c>
      <c r="C117" s="11">
        <v>3.1083333333333332E-3</v>
      </c>
    </row>
    <row r="118" spans="1:3" x14ac:dyDescent="0.25">
      <c r="A118" s="10" t="s">
        <v>116</v>
      </c>
      <c r="B118" s="11">
        <v>6.0338705859568381E-2</v>
      </c>
      <c r="C118" s="11">
        <v>2.8999999999999998E-3</v>
      </c>
    </row>
    <row r="119" spans="1:3" x14ac:dyDescent="0.25">
      <c r="A119" s="10" t="s">
        <v>117</v>
      </c>
      <c r="B119" s="11">
        <v>6.8391679350583559E-2</v>
      </c>
      <c r="C119" s="11">
        <v>2.7000000000000006E-3</v>
      </c>
    </row>
    <row r="120" spans="1:3" x14ac:dyDescent="0.25">
      <c r="A120" s="10" t="s">
        <v>118</v>
      </c>
      <c r="B120" s="11">
        <v>-5.3300408395859165E-2</v>
      </c>
      <c r="C120" s="11">
        <v>2.8333333333333335E-3</v>
      </c>
    </row>
    <row r="121" spans="1:3" x14ac:dyDescent="0.25">
      <c r="A121" s="10" t="s">
        <v>119</v>
      </c>
      <c r="B121" s="11">
        <v>2.467946788659486E-2</v>
      </c>
      <c r="C121" s="11">
        <v>2.7083333333333334E-3</v>
      </c>
    </row>
    <row r="122" spans="1:3" x14ac:dyDescent="0.25">
      <c r="A122" s="10" t="s">
        <v>120</v>
      </c>
      <c r="B122" s="11">
        <v>2.0932463921361291E-2</v>
      </c>
      <c r="C122" s="11">
        <v>3.0916666666666666E-3</v>
      </c>
    </row>
    <row r="123" spans="1:3" x14ac:dyDescent="0.25">
      <c r="A123" s="10" t="s">
        <v>121</v>
      </c>
      <c r="B123" s="11">
        <v>-3.2452338026007936E-2</v>
      </c>
      <c r="C123" s="11">
        <v>3.283333333333333E-3</v>
      </c>
    </row>
    <row r="124" spans="1:3" x14ac:dyDescent="0.25">
      <c r="A124" s="10" t="s">
        <v>122</v>
      </c>
      <c r="B124" s="11">
        <v>4.1549379534551761E-2</v>
      </c>
      <c r="C124" s="11">
        <v>3.1166666666666669E-3</v>
      </c>
    </row>
    <row r="125" spans="1:3" x14ac:dyDescent="0.25">
      <c r="A125" s="10" t="s">
        <v>123</v>
      </c>
      <c r="B125" s="11">
        <v>-2.7444710897948234E-2</v>
      </c>
      <c r="C125" s="11">
        <v>3.1166666666666669E-3</v>
      </c>
    </row>
    <row r="126" spans="1:3" x14ac:dyDescent="0.25">
      <c r="A126" s="10" t="s">
        <v>124</v>
      </c>
      <c r="B126" s="11">
        <v>-5.1780821917808181E-2</v>
      </c>
      <c r="C126" s="11">
        <v>3.0500000000000002E-3</v>
      </c>
    </row>
    <row r="127" spans="1:3" x14ac:dyDescent="0.25">
      <c r="A127" s="10" t="s">
        <v>125</v>
      </c>
      <c r="B127" s="11">
        <v>-1.0298427374416991E-2</v>
      </c>
      <c r="C127" s="11">
        <v>3.0416666666666665E-3</v>
      </c>
    </row>
    <row r="128" spans="1:3" x14ac:dyDescent="0.25">
      <c r="A128" s="10" t="s">
        <v>126</v>
      </c>
      <c r="B128" s="11">
        <v>0.11781878844750275</v>
      </c>
      <c r="C128" s="11">
        <v>3.1416666666666663E-3</v>
      </c>
    </row>
    <row r="129" spans="1:3" x14ac:dyDescent="0.25">
      <c r="A129" s="10" t="s">
        <v>127</v>
      </c>
      <c r="B129" s="11">
        <v>-7.9488853651711516E-2</v>
      </c>
      <c r="C129" s="11">
        <v>2.9749999999999998E-3</v>
      </c>
    </row>
    <row r="130" spans="1:3" x14ac:dyDescent="0.25">
      <c r="A130" s="10" t="s">
        <v>128</v>
      </c>
      <c r="B130" s="11">
        <v>-8.8724059662775565E-2</v>
      </c>
      <c r="C130" s="11">
        <v>2.8750000000000004E-3</v>
      </c>
    </row>
    <row r="131" spans="1:3" x14ac:dyDescent="0.25">
      <c r="A131" s="10" t="s">
        <v>129</v>
      </c>
      <c r="B131" s="11">
        <v>9.1246719743806368E-2</v>
      </c>
      <c r="C131" s="11">
        <v>2.891666666666667E-3</v>
      </c>
    </row>
    <row r="132" spans="1:3" x14ac:dyDescent="0.25">
      <c r="A132" s="10" t="s">
        <v>130</v>
      </c>
      <c r="B132" s="11">
        <v>4.3204467178870661E-3</v>
      </c>
      <c r="C132" s="11">
        <v>2.8249999999999998E-3</v>
      </c>
    </row>
    <row r="133" spans="1:3" x14ac:dyDescent="0.25">
      <c r="A133" s="10" t="s">
        <v>131</v>
      </c>
      <c r="B133" s="11">
        <v>1.49550536718005E-2</v>
      </c>
      <c r="C133" s="11">
        <v>2.8E-3</v>
      </c>
    </row>
    <row r="134" spans="1:3" x14ac:dyDescent="0.25">
      <c r="A134" s="10" t="s">
        <v>132</v>
      </c>
      <c r="B134" s="11">
        <v>2.7610060378263829E-2</v>
      </c>
      <c r="C134" s="11">
        <v>2.8083333333333333E-3</v>
      </c>
    </row>
    <row r="135" spans="1:3" x14ac:dyDescent="0.25">
      <c r="A135" s="10" t="s">
        <v>133</v>
      </c>
      <c r="B135" s="11">
        <v>5.5078892585458755E-2</v>
      </c>
      <c r="C135" s="11">
        <v>2.8583333333333338E-3</v>
      </c>
    </row>
    <row r="136" spans="1:3" x14ac:dyDescent="0.25">
      <c r="A136" s="10" t="s">
        <v>134</v>
      </c>
      <c r="B136" s="11">
        <v>-4.1932509680988404E-2</v>
      </c>
      <c r="C136" s="11">
        <v>2.9583333333333332E-3</v>
      </c>
    </row>
    <row r="137" spans="1:3" x14ac:dyDescent="0.25">
      <c r="A137" s="10" t="s">
        <v>135</v>
      </c>
      <c r="B137" s="11">
        <v>-7.8277773500654332E-2</v>
      </c>
      <c r="C137" s="11">
        <v>2.9166666666666668E-3</v>
      </c>
    </row>
    <row r="138" spans="1:3" x14ac:dyDescent="0.25">
      <c r="A138" s="10" t="s">
        <v>136</v>
      </c>
      <c r="B138" s="11">
        <v>-1.4512727348660421E-2</v>
      </c>
      <c r="C138" s="11">
        <v>2.8166666666666665E-3</v>
      </c>
    </row>
    <row r="139" spans="1:3" x14ac:dyDescent="0.25">
      <c r="A139" s="10" t="s">
        <v>137</v>
      </c>
      <c r="B139" s="11">
        <v>3.64876891130229E-2</v>
      </c>
      <c r="C139" s="11">
        <v>2.7416666666666666E-3</v>
      </c>
    </row>
    <row r="140" spans="1:3" x14ac:dyDescent="0.25">
      <c r="A140" s="10" t="s">
        <v>138</v>
      </c>
      <c r="B140" s="11">
        <v>-4.4055114890833288E-2</v>
      </c>
      <c r="C140" s="11">
        <v>2.5083333333333333E-3</v>
      </c>
    </row>
    <row r="141" spans="1:3" x14ac:dyDescent="0.25">
      <c r="A141" s="10" t="s">
        <v>139</v>
      </c>
      <c r="B141" s="11">
        <v>8.7123885289022915E-2</v>
      </c>
      <c r="C141" s="11">
        <v>2.3583333333333334E-3</v>
      </c>
    </row>
    <row r="142" spans="1:3" x14ac:dyDescent="0.25">
      <c r="A142" s="10" t="s">
        <v>140</v>
      </c>
      <c r="B142" s="11">
        <v>3.035310317694492E-2</v>
      </c>
      <c r="C142" s="11">
        <v>2.3416666666666668E-3</v>
      </c>
    </row>
    <row r="143" spans="1:3" x14ac:dyDescent="0.25">
      <c r="A143" s="10" t="s">
        <v>141</v>
      </c>
      <c r="B143" s="11">
        <v>-2.9535301080606306E-2</v>
      </c>
      <c r="C143" s="11">
        <v>2.3166666666666665E-3</v>
      </c>
    </row>
    <row r="144" spans="1:3" x14ac:dyDescent="0.25">
      <c r="A144" s="10" t="s">
        <v>142</v>
      </c>
      <c r="B144" s="11">
        <v>-1.7587692549821954E-2</v>
      </c>
      <c r="C144" s="11">
        <v>2.3333333333333331E-3</v>
      </c>
    </row>
    <row r="145" spans="1:3" x14ac:dyDescent="0.25">
      <c r="A145" s="10" t="s">
        <v>143</v>
      </c>
      <c r="B145" s="11">
        <v>-6.1076956965777102E-3</v>
      </c>
      <c r="C145" s="11">
        <v>2.3749999999999999E-3</v>
      </c>
    </row>
    <row r="146" spans="1:3" x14ac:dyDescent="0.25">
      <c r="A146" s="10" t="s">
        <v>144</v>
      </c>
      <c r="B146" s="11">
        <v>1.4808994197292116E-2</v>
      </c>
      <c r="C146" s="11">
        <v>2.2916666666666667E-3</v>
      </c>
    </row>
    <row r="147" spans="1:3" x14ac:dyDescent="0.25">
      <c r="A147" s="10" t="s">
        <v>145</v>
      </c>
      <c r="B147" s="11">
        <v>6.3930748307423485E-2</v>
      </c>
      <c r="C147" s="11">
        <v>2.2500000000000003E-3</v>
      </c>
    </row>
    <row r="148" spans="1:3" x14ac:dyDescent="0.25">
      <c r="A148" s="10" t="s">
        <v>146</v>
      </c>
      <c r="B148" s="11">
        <v>3.5736279321477181E-2</v>
      </c>
      <c r="C148" s="11">
        <v>2.166666666666667E-3</v>
      </c>
    </row>
    <row r="149" spans="1:3" x14ac:dyDescent="0.25">
      <c r="A149" s="10" t="s">
        <v>147</v>
      </c>
      <c r="B149" s="11">
        <v>1.5945371337969843E-2</v>
      </c>
      <c r="C149" s="11">
        <v>2.1249999999999997E-3</v>
      </c>
    </row>
    <row r="150" spans="1:3" x14ac:dyDescent="0.25">
      <c r="A150" s="10" t="s">
        <v>148</v>
      </c>
      <c r="B150" s="11">
        <v>2.4828417897742386E-2</v>
      </c>
      <c r="C150" s="11">
        <v>2.1583333333333333E-3</v>
      </c>
    </row>
    <row r="151" spans="1:3" x14ac:dyDescent="0.25">
      <c r="A151" s="10" t="s">
        <v>149</v>
      </c>
      <c r="B151" s="11">
        <v>-0.10177029435686237</v>
      </c>
      <c r="C151" s="11">
        <v>2.3916666666666665E-3</v>
      </c>
    </row>
    <row r="152" spans="1:3" x14ac:dyDescent="0.25">
      <c r="A152" s="10" t="s">
        <v>150</v>
      </c>
      <c r="B152" s="11">
        <v>6.7911224135938045E-2</v>
      </c>
      <c r="C152" s="11">
        <v>2.4250000000000001E-3</v>
      </c>
    </row>
    <row r="153" spans="1:3" x14ac:dyDescent="0.25">
      <c r="A153" s="10" t="s">
        <v>151</v>
      </c>
      <c r="B153" s="11">
        <v>-6.7777958182244483E-2</v>
      </c>
      <c r="C153" s="11">
        <v>2.4499999999999999E-3</v>
      </c>
    </row>
    <row r="154" spans="1:3" x14ac:dyDescent="0.25">
      <c r="A154" s="10" t="s">
        <v>152</v>
      </c>
      <c r="B154" s="11">
        <v>3.5124046909470866E-2</v>
      </c>
      <c r="C154" s="11">
        <v>2.4166666666666664E-3</v>
      </c>
    </row>
    <row r="155" spans="1:3" x14ac:dyDescent="0.25">
      <c r="A155" s="10" t="s">
        <v>153</v>
      </c>
      <c r="B155" s="11">
        <v>-4.5803810129184169E-3</v>
      </c>
      <c r="C155" s="11">
        <v>2.3583333333333334E-3</v>
      </c>
    </row>
    <row r="156" spans="1:3" x14ac:dyDescent="0.25">
      <c r="A156" s="10" t="s">
        <v>154</v>
      </c>
      <c r="B156" s="11">
        <v>-2.8885883855458094E-2</v>
      </c>
      <c r="C156" s="11">
        <v>2.4466666666666669E-3</v>
      </c>
    </row>
    <row r="157" spans="1:3" x14ac:dyDescent="0.25">
      <c r="A157" s="10" t="s">
        <v>155</v>
      </c>
      <c r="B157" s="11">
        <v>-3.3013576760917374E-2</v>
      </c>
      <c r="C157" s="11">
        <v>2.4508333333333331E-3</v>
      </c>
    </row>
    <row r="158" spans="1:3" x14ac:dyDescent="0.25">
      <c r="A158" s="10" t="s">
        <v>156</v>
      </c>
      <c r="B158" s="11">
        <v>3.0420608412168315E-2</v>
      </c>
      <c r="C158" s="11">
        <v>2.4099999999999998E-3</v>
      </c>
    </row>
    <row r="159" spans="1:3" x14ac:dyDescent="0.25">
      <c r="A159" s="10" t="s">
        <v>157</v>
      </c>
      <c r="B159" s="11">
        <v>2.670807453416147E-2</v>
      </c>
      <c r="C159" s="11">
        <v>2.3783333333333334E-3</v>
      </c>
    </row>
    <row r="160" spans="1:3" x14ac:dyDescent="0.25">
      <c r="A160" s="10" t="s">
        <v>158</v>
      </c>
      <c r="B160" s="11">
        <v>2.3858136721113133E-2</v>
      </c>
      <c r="C160" s="11">
        <v>2.395E-3</v>
      </c>
    </row>
    <row r="161" spans="1:3" x14ac:dyDescent="0.25">
      <c r="A161" s="10" t="s">
        <v>159</v>
      </c>
      <c r="B161" s="11">
        <v>3.2792939177960764E-2</v>
      </c>
      <c r="C161" s="11">
        <v>2.3958333333333336E-3</v>
      </c>
    </row>
    <row r="162" spans="1:3" x14ac:dyDescent="0.25">
      <c r="A162" s="10" t="s">
        <v>160</v>
      </c>
      <c r="B162" s="11">
        <v>-2.2901991632996135E-2</v>
      </c>
      <c r="C162" s="11">
        <v>2.3650000000000003E-3</v>
      </c>
    </row>
    <row r="163" spans="1:3" x14ac:dyDescent="0.25">
      <c r="A163" s="10" t="s">
        <v>161</v>
      </c>
      <c r="B163" s="11">
        <v>-1.7327502607359206E-2</v>
      </c>
      <c r="C163" s="11">
        <v>2.2883333333333332E-3</v>
      </c>
    </row>
    <row r="164" spans="1:3" x14ac:dyDescent="0.25">
      <c r="A164" s="10" t="s">
        <v>162</v>
      </c>
      <c r="B164" s="11">
        <v>-1.3778721185712872E-3</v>
      </c>
      <c r="C164" s="11">
        <v>2.1316666666666667E-3</v>
      </c>
    </row>
    <row r="165" spans="1:3" x14ac:dyDescent="0.25">
      <c r="A165" s="10" t="s">
        <v>163</v>
      </c>
      <c r="B165" s="11">
        <v>6.3171241050119314E-2</v>
      </c>
      <c r="C165" s="11">
        <v>2.1166666666666664E-3</v>
      </c>
    </row>
    <row r="166" spans="1:3" x14ac:dyDescent="0.25">
      <c r="A166" s="10" t="s">
        <v>164</v>
      </c>
      <c r="B166" s="11">
        <v>5.2963872325499503E-3</v>
      </c>
      <c r="C166" s="11">
        <v>2.0041666666666667E-3</v>
      </c>
    </row>
    <row r="167" spans="1:3" x14ac:dyDescent="0.25">
      <c r="A167" s="10" t="s">
        <v>165</v>
      </c>
      <c r="B167" s="11">
        <v>-2.5330588604724157E-2</v>
      </c>
      <c r="C167" s="11">
        <v>1.8658333333333333E-3</v>
      </c>
    </row>
    <row r="168" spans="1:3" x14ac:dyDescent="0.25">
      <c r="A168" s="10" t="s">
        <v>166</v>
      </c>
      <c r="B168" s="11">
        <v>-2.4378020404510477E-2</v>
      </c>
      <c r="C168" s="11">
        <v>1.7816666666666666E-3</v>
      </c>
    </row>
    <row r="169" spans="1:3" x14ac:dyDescent="0.25">
      <c r="A169" s="10" t="s">
        <v>167</v>
      </c>
      <c r="B169" s="11">
        <v>-3.8709914141043765E-3</v>
      </c>
      <c r="C169" s="11">
        <v>1.7858333333333331E-3</v>
      </c>
    </row>
    <row r="170" spans="1:3" x14ac:dyDescent="0.25">
      <c r="A170" s="10" t="s">
        <v>168</v>
      </c>
      <c r="B170" s="11">
        <v>8.952612483194286E-2</v>
      </c>
      <c r="C170" s="11">
        <v>1.6991666666666668E-3</v>
      </c>
    </row>
    <row r="171" spans="1:3" x14ac:dyDescent="0.25">
      <c r="A171" s="10" t="s">
        <v>169</v>
      </c>
      <c r="B171" s="11">
        <v>5.5749011122755841E-2</v>
      </c>
      <c r="C171" s="11">
        <v>1.6866666666666668E-3</v>
      </c>
    </row>
    <row r="172" spans="1:3" x14ac:dyDescent="0.25">
      <c r="A172" s="10" t="s">
        <v>170</v>
      </c>
      <c r="B172" s="11">
        <v>4.1517228128602639E-2</v>
      </c>
      <c r="C172" s="11">
        <v>1.5541666666666666E-3</v>
      </c>
    </row>
    <row r="173" spans="1:3" x14ac:dyDescent="0.25">
      <c r="A173" s="10" t="s">
        <v>171</v>
      </c>
      <c r="B173" s="11">
        <v>5.9216898030715281E-2</v>
      </c>
      <c r="C173" s="11">
        <v>1.449166666666667E-3</v>
      </c>
    </row>
    <row r="174" spans="1:3" x14ac:dyDescent="0.25">
      <c r="A174" s="10" t="s">
        <v>172</v>
      </c>
      <c r="B174" s="11">
        <v>3.2481386336918182E-2</v>
      </c>
      <c r="C174" s="11">
        <v>1.5624999999999999E-3</v>
      </c>
    </row>
    <row r="175" spans="1:3" x14ac:dyDescent="0.25">
      <c r="A175" s="10" t="s">
        <v>173</v>
      </c>
      <c r="B175" s="11">
        <v>4.3407975934438209E-2</v>
      </c>
      <c r="C175" s="11">
        <v>1.4774999999999999E-3</v>
      </c>
    </row>
    <row r="176" spans="1:3" x14ac:dyDescent="0.25">
      <c r="A176" s="10" t="s">
        <v>174</v>
      </c>
      <c r="B176" s="11">
        <v>-2.3185633260134501E-2</v>
      </c>
      <c r="C176" s="11">
        <v>1.4808333333333331E-3</v>
      </c>
    </row>
    <row r="177" spans="1:3" x14ac:dyDescent="0.25">
      <c r="A177" s="10" t="s">
        <v>175</v>
      </c>
      <c r="B177" s="11">
        <v>-5.2340495958955034E-2</v>
      </c>
      <c r="C177" s="11">
        <v>1.4458333333333335E-3</v>
      </c>
    </row>
    <row r="178" spans="1:3" x14ac:dyDescent="0.25">
      <c r="A178" s="10" t="s">
        <v>176</v>
      </c>
      <c r="B178" s="11">
        <v>-1.2559852134301634E-2</v>
      </c>
      <c r="C178" s="11">
        <v>1.3758333333333333E-3</v>
      </c>
    </row>
    <row r="179" spans="1:3" x14ac:dyDescent="0.25">
      <c r="A179" s="10" t="s">
        <v>177</v>
      </c>
      <c r="B179" s="11">
        <v>7.590496403725942E-3</v>
      </c>
      <c r="C179" s="11">
        <v>1.3558333333333332E-3</v>
      </c>
    </row>
    <row r="180" spans="1:3" x14ac:dyDescent="0.25">
      <c r="A180" s="10" t="s">
        <v>178</v>
      </c>
      <c r="B180" s="11">
        <v>6.9482029752936528E-3</v>
      </c>
      <c r="C180" s="11">
        <v>1.4600000000000001E-3</v>
      </c>
    </row>
    <row r="181" spans="1:3" x14ac:dyDescent="0.25">
      <c r="A181" s="10" t="s">
        <v>179</v>
      </c>
      <c r="B181" s="11">
        <v>-8.7596966791597276E-3</v>
      </c>
      <c r="C181" s="11">
        <v>1.4325E-3</v>
      </c>
    </row>
    <row r="182" spans="1:3" x14ac:dyDescent="0.25">
      <c r="A182" s="10" t="s">
        <v>180</v>
      </c>
      <c r="B182" s="11">
        <v>6.5948560123093984E-4</v>
      </c>
      <c r="C182" s="11">
        <v>1.3566666666666666E-3</v>
      </c>
    </row>
    <row r="183" spans="1:3" x14ac:dyDescent="0.25">
      <c r="A183" s="10" t="s">
        <v>181</v>
      </c>
      <c r="B183" s="11">
        <v>-4.5664909197422311E-2</v>
      </c>
      <c r="C183" s="11">
        <v>1.2283333333333332E-3</v>
      </c>
    </row>
    <row r="184" spans="1:3" x14ac:dyDescent="0.25">
      <c r="A184" s="10" t="s">
        <v>182</v>
      </c>
      <c r="B184" s="11">
        <v>5.6413246984438767E-2</v>
      </c>
      <c r="C184" s="11">
        <v>1.2483333333333333E-3</v>
      </c>
    </row>
    <row r="185" spans="1:3" x14ac:dyDescent="0.25">
      <c r="A185" s="10" t="s">
        <v>183</v>
      </c>
      <c r="B185" s="11">
        <v>1.6546093727301762E-2</v>
      </c>
      <c r="C185" s="11">
        <v>1.2233333333333334E-3</v>
      </c>
    </row>
    <row r="186" spans="1:3" x14ac:dyDescent="0.25">
      <c r="A186" s="10" t="s">
        <v>184</v>
      </c>
      <c r="B186" s="11">
        <v>-1.886334081198017E-3</v>
      </c>
      <c r="C186" s="11">
        <v>1.2125E-3</v>
      </c>
    </row>
    <row r="187" spans="1:3" x14ac:dyDescent="0.25">
      <c r="A187" s="10" t="s">
        <v>185</v>
      </c>
      <c r="B187" s="11">
        <v>-3.344548643424728E-2</v>
      </c>
      <c r="C187" s="11">
        <v>1.1116666666666668E-3</v>
      </c>
    </row>
    <row r="188" spans="1:3" x14ac:dyDescent="0.25">
      <c r="A188" s="10" t="s">
        <v>186</v>
      </c>
      <c r="B188" s="11">
        <v>4.6141995882030509E-2</v>
      </c>
      <c r="C188" s="11">
        <v>1.0150000000000001E-3</v>
      </c>
    </row>
    <row r="189" spans="1:3" x14ac:dyDescent="0.25">
      <c r="A189" s="10" t="s">
        <v>187</v>
      </c>
      <c r="B189" s="11">
        <v>-6.0248640688717651E-2</v>
      </c>
      <c r="C189" s="11">
        <v>1.0316666666666666E-3</v>
      </c>
    </row>
    <row r="190" spans="1:3" x14ac:dyDescent="0.25">
      <c r="A190" s="10" t="s">
        <v>188</v>
      </c>
      <c r="B190" s="11">
        <v>2.6397866473805511E-2</v>
      </c>
      <c r="C190" s="11">
        <v>1.0933333333333333E-3</v>
      </c>
    </row>
    <row r="191" spans="1:3" x14ac:dyDescent="0.25">
      <c r="A191" s="10" t="s">
        <v>189</v>
      </c>
      <c r="B191" s="11">
        <v>-8.2984689009263049E-2</v>
      </c>
      <c r="C191" s="11">
        <v>1.1341666666666668E-3</v>
      </c>
    </row>
    <row r="192" spans="1:3" x14ac:dyDescent="0.25">
      <c r="A192" s="10" t="s">
        <v>190</v>
      </c>
      <c r="B192" s="11">
        <v>-4.5735416533264933E-2</v>
      </c>
      <c r="C192" s="11">
        <v>1.3408333333333334E-3</v>
      </c>
    </row>
    <row r="193" spans="1:3" x14ac:dyDescent="0.25">
      <c r="A193" s="10" t="s">
        <v>191</v>
      </c>
      <c r="B193" s="11">
        <v>5.9267584841723911E-2</v>
      </c>
      <c r="C193" s="11">
        <v>1.41E-3</v>
      </c>
    </row>
    <row r="194" spans="1:3" x14ac:dyDescent="0.25">
      <c r="A194" s="10" t="s">
        <v>192</v>
      </c>
      <c r="B194" s="11">
        <v>-2.4246167490181266E-2</v>
      </c>
      <c r="C194" s="11">
        <v>1.3691666666666668E-3</v>
      </c>
    </row>
    <row r="195" spans="1:3" x14ac:dyDescent="0.25">
      <c r="A195" s="10" t="s">
        <v>193</v>
      </c>
      <c r="B195" s="11">
        <v>-6.3785240127894275E-3</v>
      </c>
      <c r="C195" s="11">
        <v>1.3875000000000001E-3</v>
      </c>
    </row>
    <row r="196" spans="1:3" x14ac:dyDescent="0.25">
      <c r="A196" s="10" t="s">
        <v>194</v>
      </c>
      <c r="B196" s="11">
        <v>1.1564848088859729E-2</v>
      </c>
      <c r="C196" s="11">
        <v>1.4241666666666667E-3</v>
      </c>
    </row>
    <row r="197" spans="1:3" x14ac:dyDescent="0.25">
      <c r="A197" s="10" t="s">
        <v>195</v>
      </c>
      <c r="B197" s="11">
        <v>1.4468414933471186E-2</v>
      </c>
      <c r="C197" s="11">
        <v>1.3983333333333332E-3</v>
      </c>
    </row>
    <row r="198" spans="1:3" x14ac:dyDescent="0.25">
      <c r="A198" s="10" t="s">
        <v>196</v>
      </c>
      <c r="B198" s="11">
        <v>3.7883611358716339E-2</v>
      </c>
      <c r="C198" s="11">
        <v>1.4083333333333333E-3</v>
      </c>
    </row>
    <row r="199" spans="1:3" x14ac:dyDescent="0.25">
      <c r="A199" s="10" t="s">
        <v>197</v>
      </c>
      <c r="B199" s="11">
        <v>2.6072020121464944E-2</v>
      </c>
      <c r="C199" s="11">
        <v>1.3941666666666668E-3</v>
      </c>
    </row>
    <row r="200" spans="1:3" x14ac:dyDescent="0.25">
      <c r="A200" s="10" t="s">
        <v>198</v>
      </c>
      <c r="B200" s="11">
        <v>-2.7756187970823774E-2</v>
      </c>
      <c r="C200" s="11">
        <v>1.4499999999999999E-3</v>
      </c>
    </row>
    <row r="201" spans="1:3" x14ac:dyDescent="0.25">
      <c r="A201" s="10" t="s">
        <v>199</v>
      </c>
      <c r="B201" s="11">
        <v>1.1314895383338222E-2</v>
      </c>
      <c r="C201" s="11">
        <v>1.4833333333333332E-3</v>
      </c>
    </row>
    <row r="202" spans="1:3" x14ac:dyDescent="0.25">
      <c r="A202" s="10" t="s">
        <v>200</v>
      </c>
      <c r="B202" s="11">
        <v>-7.6159494094218726E-3</v>
      </c>
      <c r="C202" s="11">
        <v>1.4874999999999999E-3</v>
      </c>
    </row>
    <row r="203" spans="1:3" x14ac:dyDescent="0.25">
      <c r="A203" s="10" t="s">
        <v>201</v>
      </c>
      <c r="B203" s="11">
        <v>6.3386538402622455E-2</v>
      </c>
      <c r="C203" s="11">
        <v>1.6883333333333331E-3</v>
      </c>
    </row>
    <row r="204" spans="1:3" x14ac:dyDescent="0.25">
      <c r="A204" s="10" t="s">
        <v>202</v>
      </c>
      <c r="B204" s="11">
        <v>0.11123595505617964</v>
      </c>
      <c r="C204" s="11">
        <v>1.7916666666666665E-3</v>
      </c>
    </row>
    <row r="205" spans="1:3" x14ac:dyDescent="0.25">
      <c r="A205" s="10" t="s">
        <v>203</v>
      </c>
      <c r="B205" s="11">
        <v>3.5000388893209923E-2</v>
      </c>
      <c r="C205" s="11">
        <v>1.75E-3</v>
      </c>
    </row>
    <row r="206" spans="1:3" x14ac:dyDescent="0.25">
      <c r="A206" s="10" t="s">
        <v>204</v>
      </c>
      <c r="B206" s="11">
        <v>0.14422233911976165</v>
      </c>
      <c r="C206" s="11">
        <v>1.825E-3</v>
      </c>
    </row>
    <row r="207" spans="1:3" x14ac:dyDescent="0.25">
      <c r="A207" s="10" t="s">
        <v>205</v>
      </c>
      <c r="B207" s="11">
        <v>-6.1856234333439258E-2</v>
      </c>
      <c r="C207" s="11">
        <v>1.8975000000000001E-3</v>
      </c>
    </row>
    <row r="208" spans="1:3" x14ac:dyDescent="0.25">
      <c r="A208" s="10" t="s">
        <v>206</v>
      </c>
      <c r="B208" s="11">
        <v>1.6369915758523427E-2</v>
      </c>
      <c r="C208" s="11">
        <v>1.8924999999999999E-3</v>
      </c>
    </row>
    <row r="209" spans="1:3" x14ac:dyDescent="0.25">
      <c r="A209" s="10" t="s">
        <v>207</v>
      </c>
      <c r="B209" s="11">
        <v>5.5792168432653496E-3</v>
      </c>
      <c r="C209" s="11">
        <v>1.8266666666666668E-3</v>
      </c>
    </row>
    <row r="210" spans="1:3" x14ac:dyDescent="0.25">
      <c r="A210" s="10" t="s">
        <v>208</v>
      </c>
      <c r="B210" s="11">
        <v>4.2354015640161226E-3</v>
      </c>
      <c r="C210" s="11">
        <v>1.8749999999999999E-3</v>
      </c>
    </row>
    <row r="211" spans="1:3" x14ac:dyDescent="0.25">
      <c r="A211" s="10" t="s">
        <v>209</v>
      </c>
      <c r="B211" s="11">
        <v>-6.9845167451060577E-2</v>
      </c>
      <c r="C211" s="11">
        <v>1.8124999999999999E-3</v>
      </c>
    </row>
    <row r="212" spans="1:3" x14ac:dyDescent="0.25">
      <c r="A212" s="10" t="s">
        <v>210</v>
      </c>
      <c r="B212" s="11">
        <v>-5.2186453521057961E-2</v>
      </c>
      <c r="C212" s="11">
        <v>1.7474999999999999E-3</v>
      </c>
    </row>
    <row r="213" spans="1:3" x14ac:dyDescent="0.25">
      <c r="A213" s="10" t="s">
        <v>211</v>
      </c>
      <c r="B213" s="11">
        <v>5.3448009077780127E-2</v>
      </c>
      <c r="C213" s="11">
        <v>1.6825E-3</v>
      </c>
    </row>
    <row r="214" spans="1:3" x14ac:dyDescent="0.25">
      <c r="A214" s="10" t="s">
        <v>212</v>
      </c>
      <c r="B214" s="11">
        <v>6.4873863177349897E-3</v>
      </c>
      <c r="C214" s="11">
        <v>1.6275000000000003E-3</v>
      </c>
    </row>
    <row r="215" spans="1:3" x14ac:dyDescent="0.25">
      <c r="A215" s="10" t="s">
        <v>213</v>
      </c>
      <c r="B215" s="11">
        <v>-0.21112286718474471</v>
      </c>
      <c r="C215" s="11">
        <v>1.6749999999999996E-3</v>
      </c>
    </row>
    <row r="216" spans="1:3" x14ac:dyDescent="0.25">
      <c r="A216" s="10" t="s">
        <v>214</v>
      </c>
      <c r="B216" s="11">
        <v>7.2594693757997181E-2</v>
      </c>
      <c r="C216" s="11">
        <v>1.6166666666666666E-3</v>
      </c>
    </row>
    <row r="217" spans="1:3" x14ac:dyDescent="0.25">
      <c r="A217" s="10" t="s">
        <v>215</v>
      </c>
      <c r="B217" s="11">
        <v>-2.890364493503509E-2</v>
      </c>
      <c r="C217" s="11">
        <v>1.5208333333333332E-3</v>
      </c>
    </row>
    <row r="218" spans="1:3" x14ac:dyDescent="0.25">
      <c r="A218" s="10" t="s">
        <v>216</v>
      </c>
      <c r="B218" s="11">
        <v>6.0993117738474115E-2</v>
      </c>
      <c r="C218" s="11">
        <v>1.5058333333333332E-3</v>
      </c>
    </row>
    <row r="219" spans="1:3" x14ac:dyDescent="0.25">
      <c r="A219" s="10" t="s">
        <v>217</v>
      </c>
      <c r="B219" s="11">
        <v>2.0073654549005365E-2</v>
      </c>
      <c r="C219" s="11">
        <v>1.5016666666666668E-3</v>
      </c>
    </row>
    <row r="220" spans="1:3" x14ac:dyDescent="0.25">
      <c r="A220" s="10" t="s">
        <v>218</v>
      </c>
      <c r="B220" s="11">
        <v>-2.6529914529915275E-3</v>
      </c>
      <c r="C220" s="11">
        <v>1.4908333333333334E-3</v>
      </c>
    </row>
    <row r="221" spans="1:3" x14ac:dyDescent="0.25">
      <c r="A221" s="10" t="s">
        <v>219</v>
      </c>
      <c r="B221" s="11">
        <v>3.4868574405945436E-2</v>
      </c>
      <c r="C221" s="11">
        <v>1.4466666666666666E-3</v>
      </c>
    </row>
    <row r="222" spans="1:3" x14ac:dyDescent="0.25">
      <c r="A222" s="10" t="s">
        <v>220</v>
      </c>
      <c r="B222" s="11">
        <v>-7.7205395235445298E-2</v>
      </c>
      <c r="C222" s="11">
        <v>1.3991666666666666E-3</v>
      </c>
    </row>
    <row r="223" spans="1:3" x14ac:dyDescent="0.25">
      <c r="A223" s="10" t="s">
        <v>221</v>
      </c>
      <c r="B223" s="11">
        <v>-8.5287234195299925E-3</v>
      </c>
      <c r="C223" s="11">
        <v>1.2466666666666665E-3</v>
      </c>
    </row>
    <row r="224" spans="1:3" x14ac:dyDescent="0.25">
      <c r="A224" s="10" t="s">
        <v>222</v>
      </c>
      <c r="B224" s="11">
        <v>-8.7396637365501892E-2</v>
      </c>
      <c r="C224" s="11">
        <v>1.1516666666666665E-3</v>
      </c>
    </row>
    <row r="225" spans="1:3" x14ac:dyDescent="0.25">
      <c r="A225" s="10" t="s">
        <v>223</v>
      </c>
      <c r="B225" s="11">
        <v>-3.1149830207242369E-2</v>
      </c>
      <c r="C225" s="11">
        <v>9.6999999999999994E-4</v>
      </c>
    </row>
    <row r="226" spans="1:3" x14ac:dyDescent="0.25">
      <c r="A226" s="10" t="s">
        <v>224</v>
      </c>
      <c r="B226" s="11">
        <v>1.836049463598401E-2</v>
      </c>
      <c r="C226" s="11">
        <v>1.0724999999999999E-3</v>
      </c>
    </row>
    <row r="227" spans="1:3" x14ac:dyDescent="0.25">
      <c r="A227" s="10" t="s">
        <v>225</v>
      </c>
      <c r="B227" s="11">
        <v>5.9122490993309303E-2</v>
      </c>
      <c r="C227" s="11">
        <v>1.1308333333333333E-3</v>
      </c>
    </row>
    <row r="228" spans="1:3" x14ac:dyDescent="0.25">
      <c r="A228" s="10" t="s">
        <v>226</v>
      </c>
      <c r="B228" s="11">
        <v>-3.876875417603106E-2</v>
      </c>
      <c r="C228" s="11">
        <v>1.2433333333333333E-3</v>
      </c>
    </row>
    <row r="229" spans="1:3" x14ac:dyDescent="0.25">
      <c r="A229" s="10" t="s">
        <v>227</v>
      </c>
      <c r="B229" s="11">
        <v>5.8199971563531856E-2</v>
      </c>
      <c r="C229" s="11">
        <v>1.1583333333333333E-3</v>
      </c>
    </row>
    <row r="230" spans="1:3" x14ac:dyDescent="0.25">
      <c r="A230" s="10" t="s">
        <v>228</v>
      </c>
      <c r="B230" s="11">
        <v>-4.0831255691742716E-2</v>
      </c>
      <c r="C230" s="11">
        <v>1.1441666666666666E-3</v>
      </c>
    </row>
    <row r="231" spans="1:3" x14ac:dyDescent="0.25">
      <c r="A231" s="10" t="s">
        <v>229</v>
      </c>
      <c r="B231" s="11">
        <v>-4.941788071224007E-2</v>
      </c>
      <c r="C231" s="11">
        <v>1.0441666666666666E-3</v>
      </c>
    </row>
    <row r="232" spans="1:3" x14ac:dyDescent="0.25">
      <c r="A232" s="10" t="s">
        <v>230</v>
      </c>
      <c r="B232" s="11">
        <v>-6.8213449478492894E-2</v>
      </c>
      <c r="C232" s="11">
        <v>9.0916666666666663E-4</v>
      </c>
    </row>
    <row r="233" spans="1:3" x14ac:dyDescent="0.25">
      <c r="A233" s="10" t="s">
        <v>231</v>
      </c>
      <c r="B233" s="11">
        <v>0.13374453054984431</v>
      </c>
      <c r="C233" s="11">
        <v>8.5333333333333344E-4</v>
      </c>
    </row>
    <row r="234" spans="1:3" x14ac:dyDescent="0.25">
      <c r="A234" s="10" t="s">
        <v>232</v>
      </c>
      <c r="B234" s="11">
        <v>0.1061719210142906</v>
      </c>
      <c r="C234" s="11">
        <v>7.316666666666666E-4</v>
      </c>
    </row>
    <row r="235" spans="1:3" x14ac:dyDescent="0.25">
      <c r="A235" s="10" t="s">
        <v>233</v>
      </c>
      <c r="B235" s="11">
        <v>3.4034861562605198E-2</v>
      </c>
      <c r="C235" s="11">
        <v>7.0833333333333338E-4</v>
      </c>
    </row>
    <row r="236" spans="1:3" x14ac:dyDescent="0.25">
      <c r="A236" s="10" t="s">
        <v>234</v>
      </c>
      <c r="B236" s="11">
        <v>0.1047874574847215</v>
      </c>
      <c r="C236" s="11">
        <v>6.8833333333333333E-4</v>
      </c>
    </row>
    <row r="237" spans="1:3" x14ac:dyDescent="0.25">
      <c r="A237" s="10" t="s">
        <v>235</v>
      </c>
      <c r="B237" s="11">
        <v>4.0402305899668901E-2</v>
      </c>
      <c r="C237" s="11">
        <v>6.9083333333333323E-4</v>
      </c>
    </row>
    <row r="238" spans="1:3" x14ac:dyDescent="0.25">
      <c r="A238" s="10" t="s">
        <v>236</v>
      </c>
      <c r="B238" s="11">
        <v>-1.061020465906251E-4</v>
      </c>
      <c r="C238" s="11">
        <v>7.5666666666666666E-4</v>
      </c>
    </row>
    <row r="239" spans="1:3" x14ac:dyDescent="0.25">
      <c r="A239" s="10" t="s">
        <v>237</v>
      </c>
      <c r="B239" s="11">
        <v>-6.5436538348169551E-2</v>
      </c>
      <c r="C239" s="11">
        <v>7.5833333333333341E-4</v>
      </c>
    </row>
    <row r="240" spans="1:3" x14ac:dyDescent="0.25">
      <c r="A240" s="10" t="s">
        <v>238</v>
      </c>
      <c r="B240" s="11">
        <v>0.11790828234403587</v>
      </c>
      <c r="C240" s="11">
        <v>8.0416666666666657E-4</v>
      </c>
    </row>
    <row r="241" spans="1:3" x14ac:dyDescent="0.25">
      <c r="A241" s="10" t="s">
        <v>239</v>
      </c>
      <c r="B241" s="11">
        <v>9.2889144688582614E-2</v>
      </c>
      <c r="C241" s="11">
        <v>8.0833333333333332E-4</v>
      </c>
    </row>
    <row r="242" spans="1:3" x14ac:dyDescent="0.25">
      <c r="A242" s="10" t="s">
        <v>240</v>
      </c>
      <c r="B242" s="11">
        <v>-4.0984283678569156E-2</v>
      </c>
      <c r="C242" s="11">
        <v>8.1249999999999996E-4</v>
      </c>
    </row>
    <row r="243" spans="1:3" x14ac:dyDescent="0.25">
      <c r="A243" s="10" t="s">
        <v>241</v>
      </c>
      <c r="B243" s="11">
        <v>-1.5924972812335084E-2</v>
      </c>
      <c r="C243" s="11">
        <v>8.2916666666666675E-4</v>
      </c>
    </row>
    <row r="244" spans="1:3" x14ac:dyDescent="0.25">
      <c r="A244" s="10" t="s">
        <v>242</v>
      </c>
      <c r="B244" s="11">
        <v>4.6206534345799397E-2</v>
      </c>
      <c r="C244" s="11">
        <v>9.4416666666666661E-4</v>
      </c>
    </row>
    <row r="245" spans="1:3" x14ac:dyDescent="0.25">
      <c r="A245" s="10" t="s">
        <v>243</v>
      </c>
      <c r="B245" s="11">
        <v>2.8530491439806821E-2</v>
      </c>
      <c r="C245" s="11">
        <v>9.4833333333333325E-4</v>
      </c>
    </row>
    <row r="246" spans="1:3" x14ac:dyDescent="0.25">
      <c r="A246" s="10" t="s">
        <v>244</v>
      </c>
      <c r="B246" s="11">
        <v>-1.6981036148254337E-3</v>
      </c>
      <c r="C246" s="11">
        <v>9.4499999999999998E-4</v>
      </c>
    </row>
    <row r="247" spans="1:3" x14ac:dyDescent="0.25">
      <c r="A247" s="10" t="s">
        <v>245</v>
      </c>
      <c r="B247" s="11">
        <v>4.9074130660636872E-2</v>
      </c>
      <c r="C247" s="11">
        <v>1.085E-3</v>
      </c>
    </row>
    <row r="248" spans="1:3" x14ac:dyDescent="0.25">
      <c r="A248" s="10" t="s">
        <v>246</v>
      </c>
      <c r="B248" s="11">
        <v>1.1456755602159924E-3</v>
      </c>
      <c r="C248" s="11">
        <v>1.1825000000000002E-3</v>
      </c>
    </row>
    <row r="249" spans="1:3" x14ac:dyDescent="0.25">
      <c r="A249" s="10" t="s">
        <v>247</v>
      </c>
      <c r="B249" s="11">
        <v>6.9728649843860454E-3</v>
      </c>
      <c r="C249" s="11">
        <v>1.1758333333333334E-3</v>
      </c>
    </row>
    <row r="250" spans="1:3" x14ac:dyDescent="0.25">
      <c r="A250" s="10" t="s">
        <v>248</v>
      </c>
      <c r="B250" s="11">
        <v>-3.3765758477555252E-2</v>
      </c>
      <c r="C250" s="11">
        <v>1.2625E-3</v>
      </c>
    </row>
    <row r="251" spans="1:3" x14ac:dyDescent="0.25">
      <c r="A251" s="10" t="s">
        <v>249</v>
      </c>
      <c r="B251" s="11">
        <v>-1.0904342799047057E-2</v>
      </c>
      <c r="C251" s="11">
        <v>1.5350000000000001E-3</v>
      </c>
    </row>
    <row r="252" spans="1:3" x14ac:dyDescent="0.25">
      <c r="A252" s="10" t="s">
        <v>250</v>
      </c>
      <c r="B252" s="11">
        <v>-2.690637187226028E-2</v>
      </c>
      <c r="C252" s="11">
        <v>1.6275000000000003E-3</v>
      </c>
    </row>
    <row r="253" spans="1:3" x14ac:dyDescent="0.25">
      <c r="A253" s="10" t="s">
        <v>251</v>
      </c>
      <c r="B253" s="11">
        <v>7.0782805008129432E-2</v>
      </c>
      <c r="C253" s="11">
        <v>1.5000000000000002E-3</v>
      </c>
    </row>
    <row r="254" spans="1:3" x14ac:dyDescent="0.25">
      <c r="A254" s="10" t="s">
        <v>252</v>
      </c>
      <c r="B254" s="11">
        <v>-0.15581539294763924</v>
      </c>
      <c r="C254" s="11">
        <v>1.7166666666666667E-3</v>
      </c>
    </row>
    <row r="255" spans="1:3" x14ac:dyDescent="0.25">
      <c r="A255" s="10" t="s">
        <v>253</v>
      </c>
      <c r="B255" s="11">
        <v>9.3942969743490388E-3</v>
      </c>
      <c r="C255" s="11">
        <v>1.9041666666666669E-3</v>
      </c>
    </row>
    <row r="256" spans="1:3" x14ac:dyDescent="0.25">
      <c r="A256" s="10" t="s">
        <v>254</v>
      </c>
      <c r="B256" s="11">
        <v>7.2026059223444128E-2</v>
      </c>
      <c r="C256" s="11">
        <v>1.974166666666667E-3</v>
      </c>
    </row>
    <row r="257" spans="1:3" x14ac:dyDescent="0.25">
      <c r="A257" s="10" t="s">
        <v>255</v>
      </c>
      <c r="B257" s="11">
        <v>-4.2116184769144416E-2</v>
      </c>
      <c r="C257" s="11">
        <v>2.4508333333333331E-3</v>
      </c>
    </row>
    <row r="258" spans="1:3" x14ac:dyDescent="0.25">
      <c r="A258" s="10" t="s">
        <v>256</v>
      </c>
      <c r="B258" s="11">
        <v>-1.2589113014644914E-2</v>
      </c>
      <c r="C258" s="11">
        <v>2.5158333333333335E-3</v>
      </c>
    </row>
    <row r="259" spans="1:3" x14ac:dyDescent="0.25">
      <c r="A259" s="10" t="s">
        <v>257</v>
      </c>
      <c r="B259" s="11">
        <v>-0.16557714695083725</v>
      </c>
      <c r="C259" s="11">
        <v>2.8974999999999995E-3</v>
      </c>
    </row>
    <row r="260" spans="1:3" x14ac:dyDescent="0.25">
      <c r="A260" s="10" t="s">
        <v>258</v>
      </c>
      <c r="B260" s="11">
        <v>7.8047864348572582E-2</v>
      </c>
      <c r="C260" s="11">
        <v>2.6983333333333334E-3</v>
      </c>
    </row>
    <row r="261" spans="1:3" x14ac:dyDescent="0.25">
      <c r="A261" s="10" t="s">
        <v>259</v>
      </c>
      <c r="B261" s="11">
        <v>4.255742763992881E-3</v>
      </c>
      <c r="C261" s="11">
        <v>2.7058333333333331E-3</v>
      </c>
    </row>
    <row r="262" spans="1:3" x14ac:dyDescent="0.25">
      <c r="A262" s="10" t="s">
        <v>260</v>
      </c>
      <c r="B262" s="11">
        <v>-0.16652210547184773</v>
      </c>
      <c r="C262" s="11">
        <v>3.2525000000000002E-3</v>
      </c>
    </row>
    <row r="263" spans="1:3" x14ac:dyDescent="0.25">
      <c r="A263" s="10" t="s">
        <v>261</v>
      </c>
      <c r="B263" s="11">
        <v>3.3717386456552541E-2</v>
      </c>
      <c r="C263" s="11">
        <v>3.529166666666667E-3</v>
      </c>
    </row>
    <row r="264" spans="1:3" x14ac:dyDescent="0.25">
      <c r="A264" s="10" t="s">
        <v>262</v>
      </c>
      <c r="B264" s="11">
        <v>4.9199660592811931E-2</v>
      </c>
      <c r="C264" s="11">
        <v>3.2458333333333332E-3</v>
      </c>
    </row>
    <row r="265" spans="1:3" x14ac:dyDescent="0.25">
      <c r="A265" s="10" t="s">
        <v>263</v>
      </c>
      <c r="B265" s="11">
        <v>-6.8879019656221729E-2</v>
      </c>
      <c r="C265" s="11">
        <v>3.0249999999999999E-3</v>
      </c>
    </row>
    <row r="266" spans="1:3" x14ac:dyDescent="0.25">
      <c r="A266" s="10" t="s">
        <v>264</v>
      </c>
      <c r="B266" s="11">
        <v>9.009406880713694E-2</v>
      </c>
      <c r="C266" s="11">
        <v>2.8833333333333332E-3</v>
      </c>
    </row>
    <row r="267" spans="1:3" x14ac:dyDescent="0.25">
      <c r="A267" s="10" t="s">
        <v>265</v>
      </c>
      <c r="B267" s="11">
        <v>6.9021863900930486E-2</v>
      </c>
      <c r="C267" s="11">
        <v>2.891666666666667E-3</v>
      </c>
    </row>
    <row r="268" spans="1:3" x14ac:dyDescent="0.25">
      <c r="A268" s="10" t="s">
        <v>266</v>
      </c>
      <c r="B268" s="11">
        <v>7.0641738251642189E-2</v>
      </c>
      <c r="C268" s="11">
        <v>2.8841666666666668E-3</v>
      </c>
    </row>
    <row r="269" spans="1:3" x14ac:dyDescent="0.25">
      <c r="A269" s="10" t="s">
        <v>267</v>
      </c>
      <c r="B269" s="11">
        <v>-5.5337927128562645E-3</v>
      </c>
      <c r="C269" s="11">
        <v>2.7191666666666666E-3</v>
      </c>
    </row>
    <row r="270" spans="1:3" x14ac:dyDescent="0.25">
      <c r="A270" s="10" t="s">
        <v>268</v>
      </c>
      <c r="B270" s="11">
        <v>1.6741217090041897E-2</v>
      </c>
      <c r="C270" s="11">
        <v>2.7750000000000001E-3</v>
      </c>
    </row>
    <row r="271" spans="1:3" x14ac:dyDescent="0.25">
      <c r="A271" s="10" t="s">
        <v>269</v>
      </c>
      <c r="B271" s="11">
        <v>1.3186454127476783E-2</v>
      </c>
      <c r="C271" s="11">
        <v>2.9566666666666665E-3</v>
      </c>
    </row>
    <row r="272" spans="1:3" x14ac:dyDescent="0.25">
      <c r="A272" s="10" t="s">
        <v>270</v>
      </c>
      <c r="B272" s="11">
        <v>7.8008384778402301E-2</v>
      </c>
      <c r="C272" s="11">
        <v>3.0316666666666665E-3</v>
      </c>
    </row>
    <row r="273" spans="1:3" x14ac:dyDescent="0.25">
      <c r="A273" s="10" t="s">
        <v>271</v>
      </c>
      <c r="B273" s="11">
        <v>-8.0878660640833037E-3</v>
      </c>
      <c r="C273" s="11">
        <v>3.1058333333333333E-3</v>
      </c>
    </row>
    <row r="274" spans="1:3" x14ac:dyDescent="0.25">
      <c r="A274" s="10" t="s">
        <v>272</v>
      </c>
      <c r="B274" s="11">
        <v>-9.4118914261094352E-2</v>
      </c>
      <c r="C274" s="11">
        <v>3.2016666666666669E-3</v>
      </c>
    </row>
    <row r="275" spans="1:3" x14ac:dyDescent="0.25">
      <c r="A275" s="10" t="s">
        <v>273</v>
      </c>
      <c r="B275" s="11">
        <v>-0.1247532757841668</v>
      </c>
      <c r="C275" s="11">
        <v>3.3591666666666666E-3</v>
      </c>
    </row>
    <row r="276" spans="1:3" x14ac:dyDescent="0.25">
      <c r="A276" s="10" t="s">
        <v>274</v>
      </c>
      <c r="B276" s="11">
        <v>0.12984648824887912</v>
      </c>
      <c r="C276" s="11">
        <v>3.1424999999999999E-3</v>
      </c>
    </row>
    <row r="277" spans="1:3" x14ac:dyDescent="0.25">
      <c r="A277" s="10" t="s">
        <v>275</v>
      </c>
      <c r="B277" s="11">
        <v>4.1951231242785811E-2</v>
      </c>
      <c r="C277" s="11">
        <v>2.7916666666666667E-3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E81A1-49C0-46DF-9237-4713DA4E998D}">
  <dimension ref="A2:F56"/>
  <sheetViews>
    <sheetView workbookViewId="0">
      <selection activeCell="B2" sqref="B2"/>
    </sheetView>
  </sheetViews>
  <sheetFormatPr defaultColWidth="9.109375" defaultRowHeight="13.2" x14ac:dyDescent="0.25"/>
  <cols>
    <col min="1" max="1" width="6.5546875" style="31" customWidth="1"/>
    <col min="2" max="6" width="20.5546875" style="31" customWidth="1"/>
    <col min="7" max="16384" width="9.109375" style="31"/>
  </cols>
  <sheetData>
    <row r="2" spans="1:6" x14ac:dyDescent="0.25">
      <c r="B2" s="36" t="s">
        <v>326</v>
      </c>
      <c r="C2" s="36" t="s">
        <v>301</v>
      </c>
      <c r="D2" s="36" t="s">
        <v>302</v>
      </c>
      <c r="E2" s="36" t="s">
        <v>346</v>
      </c>
      <c r="F2" s="33"/>
    </row>
    <row r="3" spans="1:6" x14ac:dyDescent="0.25">
      <c r="B3" s="33" t="s">
        <v>299</v>
      </c>
      <c r="C3" s="37">
        <v>0.2</v>
      </c>
      <c r="D3" s="37">
        <v>0.15</v>
      </c>
      <c r="E3" s="33">
        <v>0.08</v>
      </c>
      <c r="F3" s="33"/>
    </row>
    <row r="4" spans="1:6" x14ac:dyDescent="0.25">
      <c r="B4" s="33" t="s">
        <v>287</v>
      </c>
      <c r="C4" s="37">
        <v>0.45</v>
      </c>
      <c r="D4" s="37">
        <v>0.32</v>
      </c>
    </row>
    <row r="5" spans="1:6" x14ac:dyDescent="0.25">
      <c r="B5" s="33" t="s">
        <v>350</v>
      </c>
      <c r="C5" s="126">
        <v>4.7500000000000001E-2</v>
      </c>
      <c r="D5" s="126"/>
    </row>
    <row r="6" spans="1:6" x14ac:dyDescent="0.25">
      <c r="B6" s="33" t="s">
        <v>300</v>
      </c>
      <c r="C6" s="126">
        <v>0.33</v>
      </c>
      <c r="D6" s="126"/>
    </row>
    <row r="8" spans="1:6" ht="12" customHeight="1" x14ac:dyDescent="0.25">
      <c r="A8" s="38">
        <v>1</v>
      </c>
      <c r="B8" s="39" t="s">
        <v>360</v>
      </c>
      <c r="C8" s="32" t="s">
        <v>303</v>
      </c>
      <c r="D8" s="32" t="s">
        <v>304</v>
      </c>
      <c r="E8" s="42" t="s">
        <v>343</v>
      </c>
      <c r="F8" s="42" t="s">
        <v>344</v>
      </c>
    </row>
    <row r="9" spans="1:6" x14ac:dyDescent="0.25">
      <c r="C9" s="35">
        <v>0</v>
      </c>
      <c r="D9" s="35">
        <f>1-C9</f>
        <v>1</v>
      </c>
      <c r="E9" s="34">
        <f>C9*$C$3+D9*$D$3</f>
        <v>0.15</v>
      </c>
      <c r="F9" s="34">
        <f>SQRT(C9^2*$C$4^2+D9^2*$D$4^2+2*C9*D9*$C$5)</f>
        <v>0.32</v>
      </c>
    </row>
    <row r="10" spans="1:6" x14ac:dyDescent="0.25">
      <c r="C10" s="35">
        <v>0.1</v>
      </c>
      <c r="D10" s="35">
        <f t="shared" ref="D10:D19" si="0">1-C10</f>
        <v>0.9</v>
      </c>
      <c r="E10" s="34">
        <f t="shared" ref="E10:E19" si="1">C10*$C$3+D10*$D$3</f>
        <v>0.15500000000000003</v>
      </c>
      <c r="F10" s="34">
        <f t="shared" ref="F10:F19" si="2">SQRT(C10^2*$C$4^2+D10^2*$D$4^2+2*C10*D10*$C$5)</f>
        <v>0.30580876377239419</v>
      </c>
    </row>
    <row r="11" spans="1:6" x14ac:dyDescent="0.25">
      <c r="C11" s="35">
        <v>0.2</v>
      </c>
      <c r="D11" s="35">
        <f t="shared" si="0"/>
        <v>0.8</v>
      </c>
      <c r="E11" s="34">
        <f t="shared" si="1"/>
        <v>0.16</v>
      </c>
      <c r="F11" s="34">
        <f t="shared" si="2"/>
        <v>0.29805368643920516</v>
      </c>
    </row>
    <row r="12" spans="1:6" x14ac:dyDescent="0.25">
      <c r="C12" s="35">
        <v>0.3</v>
      </c>
      <c r="D12" s="35">
        <f t="shared" si="0"/>
        <v>0.7</v>
      </c>
      <c r="E12" s="34">
        <f t="shared" si="1"/>
        <v>0.16499999999999998</v>
      </c>
      <c r="F12" s="34">
        <f t="shared" si="2"/>
        <v>0.29723896110705272</v>
      </c>
    </row>
    <row r="13" spans="1:6" x14ac:dyDescent="0.25">
      <c r="C13" s="35">
        <v>0.4</v>
      </c>
      <c r="D13" s="35">
        <f t="shared" si="0"/>
        <v>0.6</v>
      </c>
      <c r="E13" s="34">
        <f t="shared" si="1"/>
        <v>0.17</v>
      </c>
      <c r="F13" s="34">
        <f t="shared" si="2"/>
        <v>0.3034205002962061</v>
      </c>
    </row>
    <row r="14" spans="1:6" x14ac:dyDescent="0.25">
      <c r="C14" s="35">
        <v>0.5</v>
      </c>
      <c r="D14" s="35">
        <f t="shared" si="0"/>
        <v>0.5</v>
      </c>
      <c r="E14" s="34">
        <f t="shared" si="1"/>
        <v>0.17499999999999999</v>
      </c>
      <c r="F14" s="34">
        <f t="shared" si="2"/>
        <v>0.31618823507524757</v>
      </c>
    </row>
    <row r="15" spans="1:6" x14ac:dyDescent="0.25">
      <c r="C15" s="35">
        <v>0.6</v>
      </c>
      <c r="D15" s="35">
        <f t="shared" si="0"/>
        <v>0.4</v>
      </c>
      <c r="E15" s="34">
        <f t="shared" si="1"/>
        <v>0.18</v>
      </c>
      <c r="F15" s="34">
        <f t="shared" si="2"/>
        <v>0.33478948609536713</v>
      </c>
    </row>
    <row r="16" spans="1:6" x14ac:dyDescent="0.25">
      <c r="C16" s="35">
        <v>0.7</v>
      </c>
      <c r="D16" s="35">
        <f t="shared" si="0"/>
        <v>0.30000000000000004</v>
      </c>
      <c r="E16" s="34">
        <f t="shared" si="1"/>
        <v>0.185</v>
      </c>
      <c r="F16" s="34">
        <f t="shared" si="2"/>
        <v>0.35831689884793322</v>
      </c>
    </row>
    <row r="17" spans="1:6" x14ac:dyDescent="0.25">
      <c r="C17" s="35">
        <v>0.8</v>
      </c>
      <c r="D17" s="35">
        <f t="shared" si="0"/>
        <v>0.19999999999999996</v>
      </c>
      <c r="E17" s="34">
        <f t="shared" si="1"/>
        <v>0.19000000000000003</v>
      </c>
      <c r="F17" s="34">
        <f t="shared" si="2"/>
        <v>0.38587044457952463</v>
      </c>
    </row>
    <row r="18" spans="1:6" x14ac:dyDescent="0.25">
      <c r="C18" s="35">
        <v>0.9</v>
      </c>
      <c r="D18" s="35">
        <f t="shared" si="0"/>
        <v>9.9999999999999978E-2</v>
      </c>
      <c r="E18" s="34">
        <f t="shared" si="1"/>
        <v>0.19500000000000001</v>
      </c>
      <c r="F18" s="34">
        <f t="shared" si="2"/>
        <v>0.41665213307986321</v>
      </c>
    </row>
    <row r="19" spans="1:6" x14ac:dyDescent="0.25">
      <c r="C19" s="35">
        <v>1</v>
      </c>
      <c r="D19" s="35">
        <f t="shared" si="0"/>
        <v>0</v>
      </c>
      <c r="E19" s="34">
        <f t="shared" si="1"/>
        <v>0.2</v>
      </c>
      <c r="F19" s="34">
        <f t="shared" si="2"/>
        <v>0.45</v>
      </c>
    </row>
    <row r="20" spans="1:6" x14ac:dyDescent="0.25">
      <c r="C20" s="35"/>
      <c r="D20" s="35"/>
    </row>
    <row r="22" spans="1:6" x14ac:dyDescent="0.25">
      <c r="A22" s="38">
        <v>2</v>
      </c>
      <c r="B22" s="39" t="s">
        <v>355</v>
      </c>
      <c r="C22" s="36" t="s">
        <v>352</v>
      </c>
      <c r="D22" s="36" t="s">
        <v>353</v>
      </c>
    </row>
    <row r="23" spans="1:6" x14ac:dyDescent="0.25">
      <c r="C23" s="34">
        <f>(D4^2-C5)/(C4^2+D4^2-2*C5)</f>
        <v>0.26155312053358742</v>
      </c>
      <c r="D23" s="34">
        <f>1-C23</f>
        <v>0.73844687946641252</v>
      </c>
    </row>
    <row r="25" spans="1:6" x14ac:dyDescent="0.25">
      <c r="B25" s="43" t="s">
        <v>299</v>
      </c>
      <c r="C25" s="41">
        <f>C23*C3+D23*D3</f>
        <v>0.16307765602667937</v>
      </c>
    </row>
    <row r="26" spans="1:6" x14ac:dyDescent="0.25">
      <c r="B26" s="43" t="s">
        <v>287</v>
      </c>
      <c r="C26" s="41">
        <f>SQRT(C23^2*C4^2+D23^2*D4^2+2*C23*D23*C5)</f>
        <v>0.29671658814886981</v>
      </c>
    </row>
    <row r="27" spans="1:6" x14ac:dyDescent="0.25">
      <c r="B27" s="43" t="s">
        <v>354</v>
      </c>
      <c r="C27" s="41">
        <f>(C25-E3)/C26</f>
        <v>0.27998992757694197</v>
      </c>
    </row>
    <row r="30" spans="1:6" x14ac:dyDescent="0.25">
      <c r="A30" s="38">
        <v>3</v>
      </c>
      <c r="B30" s="39" t="s">
        <v>356</v>
      </c>
      <c r="C30" s="36" t="s">
        <v>352</v>
      </c>
      <c r="D30" s="36" t="s">
        <v>353</v>
      </c>
    </row>
    <row r="31" spans="1:6" x14ac:dyDescent="0.25">
      <c r="C31" s="34">
        <v>0.35</v>
      </c>
      <c r="D31" s="34">
        <f>1-C31</f>
        <v>0.65</v>
      </c>
    </row>
    <row r="33" spans="1:5" x14ac:dyDescent="0.25">
      <c r="B33" s="33" t="s">
        <v>299</v>
      </c>
      <c r="C33" s="34">
        <f>C31*C3+D31*D3</f>
        <v>0.16749999999999998</v>
      </c>
    </row>
    <row r="34" spans="1:5" x14ac:dyDescent="0.25">
      <c r="B34" s="33" t="s">
        <v>287</v>
      </c>
      <c r="C34" s="34">
        <f>SQRT(C31^2*C4^2+D31^2*D4^2+2*C31*D31*C5)</f>
        <v>0.29947078321599258</v>
      </c>
    </row>
    <row r="35" spans="1:5" x14ac:dyDescent="0.25">
      <c r="B35" s="33" t="s">
        <v>354</v>
      </c>
      <c r="C35" s="34">
        <f>(C33-E3)/C34</f>
        <v>0.29218209222397101</v>
      </c>
    </row>
    <row r="38" spans="1:5" x14ac:dyDescent="0.25">
      <c r="A38" s="38">
        <v>4</v>
      </c>
      <c r="B38" s="39" t="s">
        <v>357</v>
      </c>
      <c r="C38" s="36" t="s">
        <v>352</v>
      </c>
      <c r="D38" s="36" t="s">
        <v>353</v>
      </c>
    </row>
    <row r="39" spans="1:5" x14ac:dyDescent="0.25">
      <c r="C39" s="34">
        <f>((C3-E3)*D4^2-(D3-E3)*C5)/((C3-E3)*D4^2+(D3-E3)*C4^2-(C3-E3+D3-E3)*C5)</f>
        <v>0.51399243032457853</v>
      </c>
      <c r="D39" s="34">
        <f>1-C39</f>
        <v>0.48600756967542147</v>
      </c>
    </row>
    <row r="41" spans="1:5" x14ac:dyDescent="0.25">
      <c r="B41" s="43" t="s">
        <v>299</v>
      </c>
      <c r="C41" s="41">
        <f>C39*C3+D39*D3</f>
        <v>0.17569962151622892</v>
      </c>
    </row>
    <row r="42" spans="1:5" x14ac:dyDescent="0.25">
      <c r="B42" s="43" t="s">
        <v>287</v>
      </c>
      <c r="C42" s="41">
        <f>SQRT(C39^2*C4^2+D39^2*D4^2+2*C39*D39*C5)</f>
        <v>0.31845994755859203</v>
      </c>
    </row>
    <row r="43" spans="1:5" x14ac:dyDescent="0.25">
      <c r="B43" s="43" t="s">
        <v>354</v>
      </c>
      <c r="C43" s="41">
        <f>(C41-E3)/C42</f>
        <v>0.30050755911344729</v>
      </c>
    </row>
    <row r="46" spans="1:5" x14ac:dyDescent="0.25">
      <c r="A46" s="38">
        <v>5</v>
      </c>
      <c r="B46" s="39" t="s">
        <v>358</v>
      </c>
      <c r="C46" s="36" t="s">
        <v>352</v>
      </c>
      <c r="D46" s="36" t="s">
        <v>353</v>
      </c>
      <c r="E46" s="36" t="s">
        <v>359</v>
      </c>
    </row>
    <row r="48" spans="1:5" x14ac:dyDescent="0.25">
      <c r="B48" s="40" t="s">
        <v>351</v>
      </c>
    </row>
    <row r="49" spans="2:5" x14ac:dyDescent="0.25">
      <c r="B49" s="40">
        <v>4</v>
      </c>
    </row>
    <row r="51" spans="2:5" x14ac:dyDescent="0.25">
      <c r="B51" s="40" t="s">
        <v>347</v>
      </c>
    </row>
    <row r="52" spans="2:5" x14ac:dyDescent="0.25">
      <c r="B52" s="41">
        <f>(C41-E3)/(B49*C42^2)</f>
        <v>0.23590687103451075</v>
      </c>
      <c r="C52" s="41">
        <f>B52*C39</f>
        <v>0.1212543459732951</v>
      </c>
      <c r="D52" s="41">
        <f>B52*D39</f>
        <v>0.11465252506121565</v>
      </c>
      <c r="E52" s="41">
        <f>1-B52</f>
        <v>0.76409312896548931</v>
      </c>
    </row>
    <row r="54" spans="2:5" x14ac:dyDescent="0.25">
      <c r="B54" s="33"/>
    </row>
    <row r="55" spans="2:5" x14ac:dyDescent="0.25">
      <c r="B55" s="43" t="s">
        <v>299</v>
      </c>
      <c r="C55" s="41">
        <f>C52*C3+D52*D3+E52*E3</f>
        <v>0.1025761982710805</v>
      </c>
    </row>
    <row r="56" spans="2:5" x14ac:dyDescent="0.25">
      <c r="B56" s="43" t="s">
        <v>287</v>
      </c>
      <c r="C56" s="41">
        <f>B52*C42</f>
        <v>7.5126889778361822E-2</v>
      </c>
    </row>
  </sheetData>
  <mergeCells count="2">
    <mergeCell ref="C5:D5"/>
    <mergeCell ref="C6:D6"/>
  </mergeCells>
  <phoneticPr fontId="1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5BBD8-40CC-43A4-B0EE-3FD68A132380}">
  <dimension ref="A2:E34"/>
  <sheetViews>
    <sheetView workbookViewId="0">
      <selection activeCell="B2" sqref="B2"/>
    </sheetView>
  </sheetViews>
  <sheetFormatPr defaultColWidth="9.109375" defaultRowHeight="13.2" x14ac:dyDescent="0.25"/>
  <cols>
    <col min="1" max="1" width="6.5546875" style="46" customWidth="1"/>
    <col min="2" max="5" width="20.5546875" style="46" customWidth="1"/>
    <col min="6" max="16384" width="9.109375" style="46"/>
  </cols>
  <sheetData>
    <row r="2" spans="1:5" x14ac:dyDescent="0.25">
      <c r="B2" s="50" t="s">
        <v>361</v>
      </c>
      <c r="C2" s="50" t="s">
        <v>299</v>
      </c>
    </row>
    <row r="3" spans="1:5" x14ac:dyDescent="0.25">
      <c r="B3" s="50" t="s">
        <v>301</v>
      </c>
      <c r="C3" s="51">
        <v>0.15</v>
      </c>
    </row>
    <row r="4" spans="1:5" x14ac:dyDescent="0.25">
      <c r="B4" s="50" t="s">
        <v>302</v>
      </c>
      <c r="C4" s="51">
        <v>0.3</v>
      </c>
    </row>
    <row r="5" spans="1:5" x14ac:dyDescent="0.25">
      <c r="B5" s="50" t="s">
        <v>362</v>
      </c>
      <c r="C5" s="51">
        <v>0.2</v>
      </c>
    </row>
    <row r="7" spans="1:5" x14ac:dyDescent="0.25">
      <c r="B7" s="50" t="s">
        <v>363</v>
      </c>
      <c r="C7" s="51">
        <v>0.1</v>
      </c>
    </row>
    <row r="9" spans="1:5" x14ac:dyDescent="0.25">
      <c r="A9" s="52">
        <v>1</v>
      </c>
      <c r="B9" s="52" t="s">
        <v>364</v>
      </c>
    </row>
    <row r="10" spans="1:5" x14ac:dyDescent="0.25">
      <c r="B10" s="50"/>
      <c r="C10" s="50" t="s">
        <v>301</v>
      </c>
      <c r="D10" s="50" t="s">
        <v>302</v>
      </c>
      <c r="E10" s="50" t="s">
        <v>362</v>
      </c>
    </row>
    <row r="11" spans="1:5" x14ac:dyDescent="0.25">
      <c r="B11" s="50" t="s">
        <v>301</v>
      </c>
      <c r="C11" s="51">
        <v>2.2499999999999999E-2</v>
      </c>
      <c r="D11" s="51">
        <v>1.2E-2</v>
      </c>
      <c r="E11" s="51">
        <v>-8.0000000000000002E-3</v>
      </c>
    </row>
    <row r="12" spans="1:5" x14ac:dyDescent="0.25">
      <c r="B12" s="50" t="s">
        <v>302</v>
      </c>
      <c r="C12" s="51">
        <v>1.2E-2</v>
      </c>
      <c r="D12" s="51">
        <v>0.16</v>
      </c>
      <c r="E12" s="51">
        <v>-0.03</v>
      </c>
    </row>
    <row r="13" spans="1:5" x14ac:dyDescent="0.25">
      <c r="B13" s="50" t="s">
        <v>362</v>
      </c>
      <c r="C13" s="51">
        <v>-8.0000000000000002E-3</v>
      </c>
      <c r="D13" s="51">
        <v>-0.03</v>
      </c>
      <c r="E13" s="51">
        <v>0.08</v>
      </c>
    </row>
    <row r="16" spans="1:5" x14ac:dyDescent="0.25">
      <c r="A16" s="52">
        <v>2</v>
      </c>
      <c r="B16" s="52" t="s">
        <v>375</v>
      </c>
      <c r="E16" s="46" t="s">
        <v>365</v>
      </c>
    </row>
    <row r="17" spans="1:4" x14ac:dyDescent="0.25">
      <c r="B17" s="46">
        <f t="array" ref="B17:D19">MINVERSE(C11:E13)</f>
        <v>47.269116186693154</v>
      </c>
      <c r="C17" s="46">
        <v>-2.8599801390268125</v>
      </c>
      <c r="D17" s="46">
        <v>3.6544190665342606</v>
      </c>
    </row>
    <row r="18" spans="1:4" x14ac:dyDescent="0.25">
      <c r="B18" s="46">
        <v>-2.859980139026812</v>
      </c>
      <c r="C18" s="46">
        <v>6.8957298907646463</v>
      </c>
      <c r="D18" s="46">
        <v>2.299900695134061</v>
      </c>
    </row>
    <row r="19" spans="1:4" x14ac:dyDescent="0.25">
      <c r="B19" s="46">
        <v>3.6544190665342602</v>
      </c>
      <c r="C19" s="46">
        <v>2.299900695134061</v>
      </c>
      <c r="D19" s="46">
        <v>13.727904667328698</v>
      </c>
    </row>
    <row r="21" spans="1:4" x14ac:dyDescent="0.25">
      <c r="A21" s="52">
        <v>3</v>
      </c>
      <c r="B21" s="52" t="s">
        <v>376</v>
      </c>
    </row>
    <row r="22" spans="1:4" x14ac:dyDescent="0.25">
      <c r="B22" s="46">
        <f>C3-$C$7</f>
        <v>4.9999999999999989E-2</v>
      </c>
      <c r="C22" s="46" t="s">
        <v>366</v>
      </c>
    </row>
    <row r="23" spans="1:4" x14ac:dyDescent="0.25">
      <c r="B23" s="46">
        <f>C4-$C$7</f>
        <v>0.19999999999999998</v>
      </c>
      <c r="C23" s="46" t="s">
        <v>367</v>
      </c>
    </row>
    <row r="24" spans="1:4" x14ac:dyDescent="0.25">
      <c r="B24" s="46">
        <f>C5-$C$7</f>
        <v>0.1</v>
      </c>
      <c r="C24" s="46" t="s">
        <v>368</v>
      </c>
    </row>
    <row r="26" spans="1:4" x14ac:dyDescent="0.25">
      <c r="A26" s="52">
        <v>4</v>
      </c>
      <c r="B26" s="52" t="s">
        <v>377</v>
      </c>
      <c r="C26" s="46" t="s">
        <v>369</v>
      </c>
    </row>
    <row r="27" spans="1:4" x14ac:dyDescent="0.25">
      <c r="B27" s="46">
        <f t="array" ref="B27:B29">MMULT(B17:D19,B22:B24)</f>
        <v>2.156901688182721</v>
      </c>
    </row>
    <row r="28" spans="1:4" x14ac:dyDescent="0.25">
      <c r="B28" s="46">
        <v>1.4661370407149947</v>
      </c>
    </row>
    <row r="29" spans="1:4" x14ac:dyDescent="0.25">
      <c r="B29" s="46">
        <v>2.0154915590863949</v>
      </c>
    </row>
    <row r="31" spans="1:4" x14ac:dyDescent="0.25">
      <c r="A31" s="52">
        <v>5</v>
      </c>
      <c r="B31" s="52" t="s">
        <v>370</v>
      </c>
    </row>
    <row r="32" spans="1:4" x14ac:dyDescent="0.25">
      <c r="B32" s="46">
        <f>B27/SUM($B$27:$B$29)</f>
        <v>0.38252905952800287</v>
      </c>
      <c r="C32" s="46" t="s">
        <v>371</v>
      </c>
    </row>
    <row r="33" spans="2:3" x14ac:dyDescent="0.25">
      <c r="B33" s="46">
        <f>B28/SUM($B$27:$B$29)</f>
        <v>0.26002113420218387</v>
      </c>
      <c r="C33" s="46" t="s">
        <v>372</v>
      </c>
    </row>
    <row r="34" spans="2:3" x14ac:dyDescent="0.25">
      <c r="B34" s="46">
        <f>B29/SUM($B$27:$B$29)</f>
        <v>0.35744980626981326</v>
      </c>
      <c r="C34" s="46" t="s">
        <v>373</v>
      </c>
    </row>
  </sheetData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DF36C-B08D-493F-99C8-1F5AA668C1E1}">
  <dimension ref="B2:H25"/>
  <sheetViews>
    <sheetView workbookViewId="0">
      <selection activeCell="B1" sqref="B1"/>
    </sheetView>
  </sheetViews>
  <sheetFormatPr defaultColWidth="9.109375" defaultRowHeight="13.2" x14ac:dyDescent="0.2"/>
  <cols>
    <col min="1" max="1" width="6.5546875" style="55" customWidth="1"/>
    <col min="2" max="2" width="21.44140625" style="55" customWidth="1"/>
    <col min="3" max="7" width="15.5546875" style="55" customWidth="1"/>
    <col min="8" max="16384" width="9.109375" style="55"/>
  </cols>
  <sheetData>
    <row r="2" spans="2:8" x14ac:dyDescent="0.2">
      <c r="B2" s="53" t="s">
        <v>351</v>
      </c>
      <c r="C2" s="54">
        <v>2</v>
      </c>
    </row>
    <row r="4" spans="2:8" x14ac:dyDescent="0.2">
      <c r="B4" s="53" t="s">
        <v>378</v>
      </c>
    </row>
    <row r="6" spans="2:8" x14ac:dyDescent="0.2">
      <c r="C6" s="55" t="s">
        <v>299</v>
      </c>
      <c r="D6" s="55" t="s">
        <v>379</v>
      </c>
      <c r="F6" s="55" t="s">
        <v>380</v>
      </c>
    </row>
    <row r="7" spans="2:8" x14ac:dyDescent="0.2">
      <c r="B7" s="55" t="s">
        <v>301</v>
      </c>
      <c r="C7" s="54">
        <v>0.3</v>
      </c>
      <c r="D7" s="55">
        <v>0.3</v>
      </c>
      <c r="E7" s="56" t="s">
        <v>381</v>
      </c>
      <c r="F7" s="54">
        <v>0.3</v>
      </c>
    </row>
    <row r="8" spans="2:8" x14ac:dyDescent="0.2">
      <c r="B8" s="55" t="s">
        <v>302</v>
      </c>
      <c r="C8" s="54">
        <v>0.15</v>
      </c>
      <c r="D8" s="55">
        <v>0</v>
      </c>
      <c r="E8" s="56" t="s">
        <v>381</v>
      </c>
      <c r="F8" s="54">
        <v>1</v>
      </c>
    </row>
    <row r="9" spans="2:8" x14ac:dyDescent="0.2">
      <c r="B9" s="55" t="s">
        <v>362</v>
      </c>
      <c r="C9" s="54">
        <v>0.25</v>
      </c>
      <c r="D9" s="55">
        <v>0.7</v>
      </c>
      <c r="E9" s="56" t="s">
        <v>381</v>
      </c>
      <c r="F9" s="54">
        <v>1</v>
      </c>
    </row>
    <row r="10" spans="2:8" x14ac:dyDescent="0.2">
      <c r="B10" s="127" t="s">
        <v>382</v>
      </c>
      <c r="C10" s="127"/>
      <c r="D10" s="55">
        <f>SUM(D7:D9)</f>
        <v>1</v>
      </c>
      <c r="E10" s="56" t="s">
        <v>383</v>
      </c>
      <c r="F10" s="54">
        <v>1</v>
      </c>
    </row>
    <row r="12" spans="2:8" x14ac:dyDescent="0.2">
      <c r="B12" s="53" t="s">
        <v>384</v>
      </c>
      <c r="F12" s="53" t="s">
        <v>385</v>
      </c>
      <c r="G12" s="55" t="s">
        <v>386</v>
      </c>
    </row>
    <row r="13" spans="2:8" x14ac:dyDescent="0.2">
      <c r="B13" s="54">
        <v>0.09</v>
      </c>
      <c r="C13" s="54">
        <v>4.4999999999999997E-3</v>
      </c>
      <c r="D13" s="54">
        <v>-1.2E-2</v>
      </c>
      <c r="F13" s="55">
        <f t="array" ref="F13:H13">TRANSPOSE(D7:D9)</f>
        <v>0.3</v>
      </c>
      <c r="G13" s="55">
        <v>0</v>
      </c>
      <c r="H13" s="55">
        <v>0.7</v>
      </c>
    </row>
    <row r="14" spans="2:8" x14ac:dyDescent="0.2">
      <c r="B14" s="54">
        <v>4.4999999999999997E-3</v>
      </c>
      <c r="C14" s="54">
        <v>1.2E-2</v>
      </c>
      <c r="D14" s="54">
        <v>-1.5E-3</v>
      </c>
      <c r="F14" s="53" t="s">
        <v>387</v>
      </c>
      <c r="G14" s="55" t="s">
        <v>388</v>
      </c>
    </row>
    <row r="15" spans="2:8" x14ac:dyDescent="0.2">
      <c r="B15" s="54">
        <v>-1.2000000000000002E-2</v>
      </c>
      <c r="C15" s="54">
        <v>-1.5000000000000002E-3</v>
      </c>
      <c r="D15" s="54">
        <v>0.04</v>
      </c>
      <c r="F15" s="55">
        <f t="array" ref="F15:H15">MMULT(F13:H13,B13:D15)</f>
        <v>1.8599999999999998E-2</v>
      </c>
      <c r="G15" s="55">
        <v>2.999999999999997E-4</v>
      </c>
      <c r="H15" s="55">
        <v>2.4399999999999998E-2</v>
      </c>
    </row>
    <row r="18" spans="2:4" x14ac:dyDescent="0.2">
      <c r="B18" s="53" t="s">
        <v>343</v>
      </c>
      <c r="D18" s="55" t="s">
        <v>389</v>
      </c>
    </row>
    <row r="19" spans="2:4" x14ac:dyDescent="0.2">
      <c r="B19" s="55">
        <f>SUMPRODUCT(C7:C9,D7:D9)</f>
        <v>0.26500000000000001</v>
      </c>
    </row>
    <row r="21" spans="2:4" x14ac:dyDescent="0.2">
      <c r="B21" s="53" t="s">
        <v>390</v>
      </c>
      <c r="D21" s="55" t="s">
        <v>391</v>
      </c>
    </row>
    <row r="22" spans="2:4" x14ac:dyDescent="0.2">
      <c r="B22" s="55">
        <f>MMULT(F15:H15,D7:D9)</f>
        <v>2.2659999999999996E-2</v>
      </c>
    </row>
    <row r="24" spans="2:4" x14ac:dyDescent="0.2">
      <c r="B24" s="53" t="s">
        <v>392</v>
      </c>
      <c r="C24" s="55" t="s">
        <v>393</v>
      </c>
    </row>
    <row r="25" spans="2:4" x14ac:dyDescent="0.2">
      <c r="B25" s="55">
        <f>B19-0.5*B22*C2</f>
        <v>0.24234000000000003</v>
      </c>
    </row>
  </sheetData>
  <mergeCells count="1">
    <mergeCell ref="B10:C10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B57A5-B7F3-49F6-A8F2-471E0CE2A850}">
  <dimension ref="A1:U26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9.109375" defaultRowHeight="13.2" x14ac:dyDescent="0.25"/>
  <cols>
    <col min="1" max="1" width="18.5546875" style="33" customWidth="1"/>
    <col min="2" max="3" width="18.5546875" style="31" customWidth="1"/>
    <col min="4" max="11" width="9.109375" style="31"/>
    <col min="12" max="12" width="2.5546875" style="31" customWidth="1"/>
    <col min="13" max="21" width="14.88671875" style="31" customWidth="1"/>
    <col min="22" max="16384" width="9.109375" style="31"/>
  </cols>
  <sheetData>
    <row r="1" spans="1:21" ht="19.350000000000001" customHeight="1" x14ac:dyDescent="0.25">
      <c r="A1" s="59" t="s">
        <v>276</v>
      </c>
      <c r="B1" s="33" t="s">
        <v>637</v>
      </c>
      <c r="C1" s="59" t="s">
        <v>638</v>
      </c>
      <c r="M1" t="s">
        <v>639</v>
      </c>
      <c r="N1"/>
      <c r="O1"/>
      <c r="P1"/>
      <c r="Q1"/>
      <c r="R1"/>
      <c r="S1"/>
      <c r="T1"/>
      <c r="U1"/>
    </row>
    <row r="2" spans="1:21" ht="13.8" thickBot="1" x14ac:dyDescent="0.3">
      <c r="A2" s="33" t="s">
        <v>636</v>
      </c>
      <c r="B2" s="58">
        <v>-4.7978894652119554E-3</v>
      </c>
      <c r="C2" s="58">
        <v>3.616636528028933E-3</v>
      </c>
      <c r="M2"/>
      <c r="N2"/>
      <c r="O2"/>
      <c r="P2"/>
      <c r="Q2"/>
      <c r="R2"/>
      <c r="S2"/>
      <c r="T2"/>
      <c r="U2"/>
    </row>
    <row r="3" spans="1:21" x14ac:dyDescent="0.25">
      <c r="A3" s="33" t="s">
        <v>635</v>
      </c>
      <c r="B3" s="58">
        <v>-3.1406273167182181E-3</v>
      </c>
      <c r="C3" s="58">
        <v>-1.8018018018018018E-3</v>
      </c>
      <c r="M3" s="63" t="s">
        <v>640</v>
      </c>
      <c r="N3" s="63"/>
      <c r="O3"/>
      <c r="P3"/>
      <c r="Q3"/>
      <c r="R3"/>
      <c r="S3"/>
      <c r="T3"/>
      <c r="U3"/>
    </row>
    <row r="4" spans="1:21" x14ac:dyDescent="0.25">
      <c r="A4" s="33" t="s">
        <v>634</v>
      </c>
      <c r="B4" s="58">
        <v>1.6811798006021682E-2</v>
      </c>
      <c r="C4" s="58">
        <v>4.3321299638989168E-2</v>
      </c>
      <c r="M4" s="14" t="s">
        <v>641</v>
      </c>
      <c r="N4">
        <v>0.67330707912486054</v>
      </c>
      <c r="O4"/>
      <c r="P4"/>
      <c r="Q4"/>
      <c r="R4"/>
      <c r="S4"/>
      <c r="T4"/>
      <c r="U4"/>
    </row>
    <row r="5" spans="1:21" x14ac:dyDescent="0.25">
      <c r="A5" s="33" t="s">
        <v>633</v>
      </c>
      <c r="B5" s="58">
        <v>3.8431191765884772E-3</v>
      </c>
      <c r="C5" s="58">
        <v>6.920415224913495E-3</v>
      </c>
      <c r="M5" s="14" t="s">
        <v>642</v>
      </c>
      <c r="N5">
        <v>0.45334242279965115</v>
      </c>
      <c r="O5"/>
      <c r="P5"/>
      <c r="Q5"/>
      <c r="R5"/>
      <c r="S5"/>
      <c r="T5"/>
      <c r="U5"/>
    </row>
    <row r="6" spans="1:21" x14ac:dyDescent="0.25">
      <c r="A6" s="33" t="s">
        <v>632</v>
      </c>
      <c r="B6" s="58">
        <v>1.1180535623606169E-2</v>
      </c>
      <c r="C6" s="58">
        <v>1.3745704467353952E-2</v>
      </c>
      <c r="M6" s="14" t="s">
        <v>643</v>
      </c>
      <c r="N6">
        <v>0.45107413409757496</v>
      </c>
      <c r="O6"/>
      <c r="P6"/>
      <c r="Q6"/>
      <c r="R6"/>
      <c r="S6"/>
      <c r="T6"/>
      <c r="U6"/>
    </row>
    <row r="7" spans="1:21" x14ac:dyDescent="0.25">
      <c r="A7" s="33" t="s">
        <v>631</v>
      </c>
      <c r="B7" s="58">
        <v>2.6297287737394055E-2</v>
      </c>
      <c r="C7" s="58">
        <v>2.8813559322033899E-2</v>
      </c>
      <c r="M7" s="14" t="s">
        <v>314</v>
      </c>
      <c r="N7">
        <v>9.8477577905651398E-3</v>
      </c>
      <c r="O7"/>
      <c r="P7"/>
      <c r="Q7"/>
      <c r="R7"/>
      <c r="S7"/>
      <c r="T7"/>
      <c r="U7"/>
    </row>
    <row r="8" spans="1:21" ht="13.8" thickBot="1" x14ac:dyDescent="0.3">
      <c r="A8" s="33" t="s">
        <v>630</v>
      </c>
      <c r="B8" s="58">
        <v>4.7655721452303466E-4</v>
      </c>
      <c r="C8" s="58">
        <v>-4.9423393739703456E-3</v>
      </c>
      <c r="M8" s="60" t="s">
        <v>325</v>
      </c>
      <c r="N8" s="61">
        <v>243</v>
      </c>
      <c r="O8"/>
      <c r="P8"/>
      <c r="Q8"/>
      <c r="R8"/>
      <c r="S8"/>
      <c r="T8"/>
      <c r="U8"/>
    </row>
    <row r="9" spans="1:21" x14ac:dyDescent="0.25">
      <c r="A9" s="33" t="s">
        <v>629</v>
      </c>
      <c r="B9" s="58">
        <v>3.4959235490004529E-3</v>
      </c>
      <c r="C9" s="58">
        <v>1.6556291390728477E-3</v>
      </c>
      <c r="M9"/>
      <c r="N9"/>
      <c r="O9"/>
      <c r="P9"/>
      <c r="Q9"/>
      <c r="R9"/>
      <c r="S9"/>
      <c r="T9"/>
      <c r="U9"/>
    </row>
    <row r="10" spans="1:21" ht="13.8" thickBot="1" x14ac:dyDescent="0.3">
      <c r="A10" s="33" t="s">
        <v>628</v>
      </c>
      <c r="B10" s="58">
        <v>2.3606396189070318E-3</v>
      </c>
      <c r="C10" s="58">
        <v>0</v>
      </c>
      <c r="M10" t="s">
        <v>644</v>
      </c>
      <c r="N10"/>
      <c r="O10"/>
      <c r="P10"/>
      <c r="Q10"/>
      <c r="R10"/>
      <c r="S10"/>
      <c r="T10"/>
      <c r="U10"/>
    </row>
    <row r="11" spans="1:21" x14ac:dyDescent="0.25">
      <c r="A11" s="33" t="s">
        <v>627</v>
      </c>
      <c r="B11" s="58">
        <v>8.8748890110355739E-3</v>
      </c>
      <c r="C11" s="58">
        <v>4.9586776859504135E-3</v>
      </c>
      <c r="M11" s="62"/>
      <c r="N11" s="62" t="s">
        <v>648</v>
      </c>
      <c r="O11" s="62" t="s">
        <v>649</v>
      </c>
      <c r="P11" s="62" t="s">
        <v>650</v>
      </c>
      <c r="Q11" s="62" t="s">
        <v>651</v>
      </c>
      <c r="R11" s="62" t="s">
        <v>652</v>
      </c>
      <c r="S11"/>
      <c r="T11"/>
      <c r="U11"/>
    </row>
    <row r="12" spans="1:21" x14ac:dyDescent="0.25">
      <c r="A12" s="33" t="s">
        <v>626</v>
      </c>
      <c r="B12" s="58">
        <v>5.7709474495932596E-3</v>
      </c>
      <c r="C12" s="58">
        <v>4.9342105263157892E-3</v>
      </c>
      <c r="M12" s="14" t="s">
        <v>645</v>
      </c>
      <c r="N12">
        <v>1</v>
      </c>
      <c r="O12">
        <v>1.9382185622343562E-2</v>
      </c>
      <c r="P12">
        <v>1.9382185622343562E-2</v>
      </c>
      <c r="Q12">
        <v>199.86098876422233</v>
      </c>
      <c r="R12">
        <v>1.8829594210981597E-33</v>
      </c>
      <c r="S12"/>
      <c r="T12"/>
      <c r="U12"/>
    </row>
    <row r="13" spans="1:21" x14ac:dyDescent="0.25">
      <c r="A13" s="33" t="s">
        <v>625</v>
      </c>
      <c r="B13" s="58">
        <v>-8.5296642304135469E-3</v>
      </c>
      <c r="C13" s="58">
        <v>-1.6366612111292963E-3</v>
      </c>
      <c r="M13" s="14" t="s">
        <v>646</v>
      </c>
      <c r="N13">
        <v>241</v>
      </c>
      <c r="O13">
        <v>2.3371778373894377E-2</v>
      </c>
      <c r="P13">
        <v>9.6978333501636415E-5</v>
      </c>
      <c r="Q13"/>
      <c r="R13"/>
      <c r="S13"/>
      <c r="T13"/>
      <c r="U13"/>
    </row>
    <row r="14" spans="1:21" ht="13.8" thickBot="1" x14ac:dyDescent="0.3">
      <c r="A14" s="33" t="s">
        <v>624</v>
      </c>
      <c r="B14" s="58">
        <v>-4.6524529396188563E-3</v>
      </c>
      <c r="C14" s="58">
        <v>-9.8360655737704927E-3</v>
      </c>
      <c r="M14" s="60" t="s">
        <v>647</v>
      </c>
      <c r="N14" s="61">
        <v>242</v>
      </c>
      <c r="O14" s="61">
        <v>4.2753963996237938E-2</v>
      </c>
      <c r="P14" s="61"/>
      <c r="Q14" s="61"/>
      <c r="R14" s="61"/>
      <c r="S14"/>
      <c r="T14"/>
      <c r="U14"/>
    </row>
    <row r="15" spans="1:21" ht="13.8" thickBot="1" x14ac:dyDescent="0.3">
      <c r="A15" s="33" t="s">
        <v>623</v>
      </c>
      <c r="B15" s="58">
        <v>5.0753276584245294E-3</v>
      </c>
      <c r="C15" s="58">
        <v>1.8211920529801324E-2</v>
      </c>
      <c r="M15"/>
      <c r="N15"/>
      <c r="O15"/>
      <c r="P15"/>
      <c r="Q15"/>
      <c r="R15"/>
      <c r="S15"/>
      <c r="T15"/>
      <c r="U15"/>
    </row>
    <row r="16" spans="1:21" x14ac:dyDescent="0.25">
      <c r="A16" s="33" t="s">
        <v>622</v>
      </c>
      <c r="B16" s="58">
        <v>6.2680121327205662E-3</v>
      </c>
      <c r="C16" s="58">
        <v>4.8780487804878049E-3</v>
      </c>
      <c r="M16" s="62"/>
      <c r="N16" s="62" t="s">
        <v>653</v>
      </c>
      <c r="O16" s="62" t="s">
        <v>314</v>
      </c>
      <c r="P16" s="62" t="s">
        <v>654</v>
      </c>
      <c r="Q16" s="62" t="s">
        <v>655</v>
      </c>
      <c r="R16" s="62" t="s">
        <v>656</v>
      </c>
      <c r="S16" s="62" t="s">
        <v>657</v>
      </c>
      <c r="T16" s="62" t="s">
        <v>658</v>
      </c>
      <c r="U16" s="62" t="s">
        <v>659</v>
      </c>
    </row>
    <row r="17" spans="1:21" x14ac:dyDescent="0.25">
      <c r="A17" s="33" t="s">
        <v>621</v>
      </c>
      <c r="B17" s="58">
        <v>1.390663226539079E-2</v>
      </c>
      <c r="C17" s="58">
        <v>2.5889967637540454E-2</v>
      </c>
      <c r="M17" t="s">
        <v>661</v>
      </c>
      <c r="N17">
        <v>8.6818426403732286E-4</v>
      </c>
      <c r="O17">
        <v>6.3315072890797052E-4</v>
      </c>
      <c r="P17">
        <v>1.3712126108339597</v>
      </c>
      <c r="Q17">
        <v>0.17158412593861852</v>
      </c>
      <c r="R17">
        <v>-3.7903163281178892E-4</v>
      </c>
      <c r="S17">
        <v>2.1154001608864347E-3</v>
      </c>
      <c r="T17">
        <v>-3.7903163281178892E-4</v>
      </c>
      <c r="U17">
        <v>2.1154001608864347E-3</v>
      </c>
    </row>
    <row r="18" spans="1:21" ht="13.8" thickBot="1" x14ac:dyDescent="0.3">
      <c r="A18" s="33" t="s">
        <v>620</v>
      </c>
      <c r="B18" s="58">
        <v>1.6503539119728863E-2</v>
      </c>
      <c r="C18" s="58">
        <v>7.8864353312302835E-3</v>
      </c>
      <c r="M18" s="61" t="s">
        <v>660</v>
      </c>
      <c r="N18" s="61">
        <v>0.92596043042426235</v>
      </c>
      <c r="O18" s="61">
        <v>6.5498056317379677E-2</v>
      </c>
      <c r="P18" s="61">
        <v>14.137219980046369</v>
      </c>
      <c r="Q18" s="61">
        <v>1.8829594210981597E-33</v>
      </c>
      <c r="R18" s="61">
        <v>0.79693867727450307</v>
      </c>
      <c r="S18" s="61">
        <v>1.0549821835740216</v>
      </c>
      <c r="T18" s="61">
        <v>0.79693867727450307</v>
      </c>
      <c r="U18" s="61">
        <v>1.0549821835740216</v>
      </c>
    </row>
    <row r="19" spans="1:21" x14ac:dyDescent="0.25">
      <c r="A19" s="33" t="s">
        <v>619</v>
      </c>
      <c r="B19" s="58">
        <v>6.2260749802523201E-3</v>
      </c>
      <c r="C19" s="58">
        <v>1.0954616588419406E-2</v>
      </c>
      <c r="M19"/>
      <c r="N19"/>
      <c r="O19"/>
      <c r="P19"/>
      <c r="Q19"/>
      <c r="R19"/>
      <c r="S19"/>
      <c r="T19"/>
      <c r="U19"/>
    </row>
    <row r="20" spans="1:21" x14ac:dyDescent="0.25">
      <c r="A20" s="33" t="s">
        <v>618</v>
      </c>
      <c r="B20" s="58">
        <v>-1.3506332477194299E-2</v>
      </c>
      <c r="C20" s="58">
        <v>-2.0123839009287926E-2</v>
      </c>
      <c r="M20"/>
      <c r="N20"/>
      <c r="O20"/>
      <c r="P20"/>
      <c r="Q20"/>
      <c r="R20"/>
      <c r="S20"/>
      <c r="T20"/>
      <c r="U20"/>
    </row>
    <row r="21" spans="1:21" x14ac:dyDescent="0.25">
      <c r="A21" s="33" t="s">
        <v>617</v>
      </c>
      <c r="B21" s="58">
        <v>-1.0361277632454131E-2</v>
      </c>
      <c r="C21" s="58">
        <v>-3.6334913112164295E-2</v>
      </c>
      <c r="M21"/>
      <c r="N21"/>
      <c r="O21"/>
      <c r="P21"/>
      <c r="Q21"/>
      <c r="R21"/>
      <c r="S21"/>
      <c r="T21"/>
      <c r="U21"/>
    </row>
    <row r="22" spans="1:21" x14ac:dyDescent="0.25">
      <c r="A22" s="33" t="s">
        <v>616</v>
      </c>
      <c r="B22" s="58">
        <v>1.019347815329814E-2</v>
      </c>
      <c r="C22" s="58">
        <v>1.3114754098360656E-2</v>
      </c>
      <c r="M22" t="s">
        <v>662</v>
      </c>
      <c r="N22"/>
      <c r="O22"/>
      <c r="P22"/>
      <c r="Q22"/>
      <c r="R22"/>
      <c r="S22"/>
      <c r="T22"/>
      <c r="U22"/>
    </row>
    <row r="23" spans="1:21" ht="13.8" thickBot="1" x14ac:dyDescent="0.3">
      <c r="A23" s="33" t="s">
        <v>615</v>
      </c>
      <c r="B23" s="58">
        <v>7.7883908890521375E-3</v>
      </c>
      <c r="C23" s="58">
        <v>2.7508090614886731E-2</v>
      </c>
      <c r="M23"/>
      <c r="N23"/>
      <c r="O23"/>
      <c r="P23"/>
      <c r="Q23"/>
      <c r="R23"/>
      <c r="S23"/>
      <c r="T23"/>
      <c r="U23"/>
    </row>
    <row r="24" spans="1:21" x14ac:dyDescent="0.25">
      <c r="A24" s="33" t="s">
        <v>614</v>
      </c>
      <c r="B24" s="58">
        <v>4.6660834062408792E-3</v>
      </c>
      <c r="C24" s="58">
        <v>4.7244094488188976E-3</v>
      </c>
      <c r="M24" s="62" t="s">
        <v>325</v>
      </c>
      <c r="N24" s="62" t="s">
        <v>663</v>
      </c>
      <c r="O24" s="62" t="s">
        <v>646</v>
      </c>
      <c r="P24"/>
      <c r="Q24"/>
      <c r="R24"/>
      <c r="S24"/>
      <c r="T24"/>
      <c r="U24"/>
    </row>
    <row r="25" spans="1:21" x14ac:dyDescent="0.25">
      <c r="A25" s="33" t="s">
        <v>613</v>
      </c>
      <c r="B25" s="58">
        <v>-1.7017416545718447E-2</v>
      </c>
      <c r="C25" s="58">
        <v>-3.4482758620689655E-2</v>
      </c>
      <c r="M25">
        <v>1</v>
      </c>
      <c r="N25">
        <v>-3.5744715302983734E-3</v>
      </c>
      <c r="O25">
        <v>7.1911080583273064E-3</v>
      </c>
      <c r="P25"/>
      <c r="Q25"/>
      <c r="R25"/>
      <c r="S25"/>
      <c r="T25"/>
      <c r="U25"/>
    </row>
    <row r="26" spans="1:21" x14ac:dyDescent="0.25">
      <c r="A26" s="33" t="s">
        <v>612</v>
      </c>
      <c r="B26" s="58">
        <v>5.5450969776760558E-3</v>
      </c>
      <c r="C26" s="58">
        <v>4.87012987012987E-3</v>
      </c>
      <c r="M26">
        <v>2</v>
      </c>
      <c r="N26">
        <v>-2.0399123579532743E-3</v>
      </c>
      <c r="O26">
        <v>2.3811055615147246E-4</v>
      </c>
      <c r="P26"/>
      <c r="Q26"/>
      <c r="R26"/>
      <c r="S26"/>
      <c r="T26"/>
      <c r="U26"/>
    </row>
    <row r="27" spans="1:21" x14ac:dyDescent="0.25">
      <c r="A27" s="33" t="s">
        <v>611</v>
      </c>
      <c r="B27" s="58">
        <v>1.3023563145722714E-2</v>
      </c>
      <c r="C27" s="58">
        <v>1.9386106623586429E-2</v>
      </c>
      <c r="M27">
        <v>3</v>
      </c>
      <c r="N27">
        <v>1.6435243981898915E-2</v>
      </c>
      <c r="O27">
        <v>2.6886055657090253E-2</v>
      </c>
      <c r="P27"/>
      <c r="Q27"/>
      <c r="R27"/>
      <c r="S27"/>
      <c r="T27"/>
      <c r="U27"/>
    </row>
    <row r="28" spans="1:21" x14ac:dyDescent="0.25">
      <c r="A28" s="33" t="s">
        <v>610</v>
      </c>
      <c r="B28" s="58">
        <v>-8.5358586590644824E-4</v>
      </c>
      <c r="C28" s="58">
        <v>-1.5847860538827259E-3</v>
      </c>
      <c r="M28">
        <v>4</v>
      </c>
      <c r="N28">
        <v>4.4267605509629255E-3</v>
      </c>
      <c r="O28">
        <v>2.4936546739505695E-3</v>
      </c>
      <c r="P28"/>
      <c r="Q28"/>
      <c r="R28"/>
      <c r="S28"/>
      <c r="T28"/>
      <c r="U28"/>
    </row>
    <row r="29" spans="1:21" x14ac:dyDescent="0.25">
      <c r="A29" s="33" t="s">
        <v>609</v>
      </c>
      <c r="B29" s="58">
        <v>-4.7511202811180101E-3</v>
      </c>
      <c r="C29" s="58">
        <v>-3.1746031746031746E-3</v>
      </c>
      <c r="M29">
        <v>5</v>
      </c>
      <c r="N29">
        <v>1.1220917842445489E-2</v>
      </c>
      <c r="O29">
        <v>2.5247866249084629E-3</v>
      </c>
      <c r="P29"/>
      <c r="Q29"/>
      <c r="R29"/>
      <c r="S29"/>
      <c r="T29"/>
      <c r="U29"/>
    </row>
    <row r="30" spans="1:21" x14ac:dyDescent="0.25">
      <c r="A30" s="33" t="s">
        <v>608</v>
      </c>
      <c r="B30" s="58">
        <v>-6.8954906001871463E-3</v>
      </c>
      <c r="C30" s="58">
        <v>1.5923566878980893E-3</v>
      </c>
      <c r="M30">
        <v>6</v>
      </c>
      <c r="N30">
        <v>2.5218432136345399E-2</v>
      </c>
      <c r="O30">
        <v>3.5951271856884993E-3</v>
      </c>
      <c r="P30"/>
      <c r="Q30"/>
      <c r="R30"/>
      <c r="S30"/>
      <c r="T30"/>
      <c r="U30"/>
    </row>
    <row r="31" spans="1:21" x14ac:dyDescent="0.25">
      <c r="A31" s="33" t="s">
        <v>607</v>
      </c>
      <c r="B31" s="58">
        <v>5.2758184857504197E-3</v>
      </c>
      <c r="C31" s="58">
        <v>4.7694753577106515E-3</v>
      </c>
      <c r="M31">
        <v>7</v>
      </c>
      <c r="N31">
        <v>1.3094573875188594E-3</v>
      </c>
      <c r="O31">
        <v>-6.2517967614892055E-3</v>
      </c>
      <c r="P31"/>
      <c r="Q31"/>
      <c r="R31"/>
      <c r="S31"/>
      <c r="T31"/>
      <c r="U31"/>
    </row>
    <row r="32" spans="1:21" x14ac:dyDescent="0.25">
      <c r="A32" s="33" t="s">
        <v>606</v>
      </c>
      <c r="B32" s="58">
        <v>-1.5306370759721527E-2</v>
      </c>
      <c r="C32" s="58">
        <v>-1.5822784810126583E-2</v>
      </c>
      <c r="M32">
        <v>8</v>
      </c>
      <c r="N32">
        <v>4.1052711382000969E-3</v>
      </c>
      <c r="O32">
        <v>-2.4496419991272495E-3</v>
      </c>
      <c r="P32"/>
      <c r="Q32"/>
      <c r="R32"/>
      <c r="S32"/>
      <c r="T32"/>
      <c r="U32"/>
    </row>
    <row r="33" spans="1:21" x14ac:dyDescent="0.25">
      <c r="A33" s="33" t="s">
        <v>605</v>
      </c>
      <c r="B33" s="58">
        <v>1.9597182750525115E-2</v>
      </c>
      <c r="C33" s="58">
        <v>2.4115755627009645E-2</v>
      </c>
      <c r="M33">
        <v>9</v>
      </c>
      <c r="N33">
        <v>3.0540431416370447E-3</v>
      </c>
      <c r="O33">
        <v>-3.0540431416370447E-3</v>
      </c>
      <c r="P33"/>
      <c r="Q33"/>
      <c r="R33"/>
      <c r="S33"/>
      <c r="T33"/>
      <c r="U33"/>
    </row>
    <row r="34" spans="1:21" x14ac:dyDescent="0.25">
      <c r="A34" s="33" t="s">
        <v>604</v>
      </c>
      <c r="B34" s="58">
        <v>-9.8041591933685519E-3</v>
      </c>
      <c r="C34" s="58">
        <v>-1.726844583987441E-2</v>
      </c>
      <c r="M34">
        <v>10</v>
      </c>
      <c r="N34">
        <v>9.0859803126633783E-3</v>
      </c>
      <c r="O34">
        <v>-4.1273026267129647E-3</v>
      </c>
      <c r="P34"/>
      <c r="Q34"/>
      <c r="R34"/>
      <c r="S34"/>
      <c r="T34"/>
      <c r="U34"/>
    </row>
    <row r="35" spans="1:21" x14ac:dyDescent="0.25">
      <c r="A35" s="33" t="s">
        <v>603</v>
      </c>
      <c r="B35" s="58">
        <v>1.5951305681683146E-3</v>
      </c>
      <c r="C35" s="58">
        <v>1.5974440894568689E-3</v>
      </c>
      <c r="M35">
        <v>11</v>
      </c>
      <c r="N35">
        <v>6.2118532484184965E-3</v>
      </c>
      <c r="O35">
        <v>-1.2776427221027073E-3</v>
      </c>
      <c r="P35"/>
      <c r="Q35"/>
      <c r="R35"/>
      <c r="S35"/>
      <c r="T35"/>
      <c r="U35"/>
    </row>
    <row r="36" spans="1:21" x14ac:dyDescent="0.25">
      <c r="A36" s="33" t="s">
        <v>602</v>
      </c>
      <c r="B36" s="58">
        <v>1.5640783342566334E-3</v>
      </c>
      <c r="C36" s="58">
        <v>-9.5693779904306216E-3</v>
      </c>
      <c r="M36">
        <v>12</v>
      </c>
      <c r="N36">
        <v>-7.0299472981308394E-3</v>
      </c>
      <c r="O36">
        <v>5.3932860870015429E-3</v>
      </c>
      <c r="P36"/>
      <c r="Q36"/>
      <c r="R36"/>
      <c r="S36"/>
      <c r="T36"/>
      <c r="U36"/>
    </row>
    <row r="37" spans="1:21" x14ac:dyDescent="0.25">
      <c r="A37" s="33" t="s">
        <v>601</v>
      </c>
      <c r="B37" s="58">
        <v>-1.6787584995282639E-2</v>
      </c>
      <c r="C37" s="58">
        <v>-1.610305958132045E-2</v>
      </c>
      <c r="M37">
        <v>13</v>
      </c>
      <c r="N37">
        <v>-3.4398030624607783E-3</v>
      </c>
      <c r="O37">
        <v>-6.3962625113097148E-3</v>
      </c>
      <c r="P37"/>
      <c r="Q37"/>
      <c r="R37"/>
      <c r="S37"/>
      <c r="T37"/>
      <c r="U37"/>
    </row>
    <row r="38" spans="1:21" x14ac:dyDescent="0.25">
      <c r="A38" s="33" t="s">
        <v>600</v>
      </c>
      <c r="B38" s="58">
        <v>8.8555971013534913E-3</v>
      </c>
      <c r="C38" s="58">
        <v>1.4729950900163666E-2</v>
      </c>
      <c r="M38">
        <v>14</v>
      </c>
      <c r="N38">
        <v>5.5677368471762634E-3</v>
      </c>
      <c r="O38">
        <v>1.264418368262506E-2</v>
      </c>
      <c r="P38"/>
      <c r="Q38"/>
      <c r="R38"/>
      <c r="S38"/>
      <c r="T38"/>
      <c r="U38"/>
    </row>
    <row r="39" spans="1:21" x14ac:dyDescent="0.25">
      <c r="A39" s="33" t="s">
        <v>599</v>
      </c>
      <c r="B39" s="58">
        <v>-6.3466292756724912E-3</v>
      </c>
      <c r="C39" s="58">
        <v>-1.1290322580645161E-2</v>
      </c>
      <c r="M39">
        <v>15</v>
      </c>
      <c r="N39">
        <v>6.6721154763557562E-3</v>
      </c>
      <c r="O39">
        <v>-1.7940666958679513E-3</v>
      </c>
      <c r="P39"/>
      <c r="Q39"/>
      <c r="R39"/>
      <c r="S39"/>
      <c r="T39"/>
      <c r="U39"/>
    </row>
    <row r="40" spans="1:21" x14ac:dyDescent="0.25">
      <c r="A40" s="33" t="s">
        <v>598</v>
      </c>
      <c r="B40" s="58">
        <v>-8.6523821902039742E-3</v>
      </c>
      <c r="C40" s="58">
        <v>-1.3050570962479609E-2</v>
      </c>
      <c r="M40">
        <v>16</v>
      </c>
      <c r="N40">
        <v>1.3745175462250512E-2</v>
      </c>
      <c r="O40">
        <v>1.2144792175289942E-2</v>
      </c>
      <c r="P40"/>
      <c r="Q40"/>
      <c r="R40"/>
      <c r="S40"/>
      <c r="T40"/>
      <c r="U40"/>
    </row>
    <row r="41" spans="1:21" x14ac:dyDescent="0.25">
      <c r="A41" s="33" t="s">
        <v>597</v>
      </c>
      <c r="B41" s="58">
        <v>4.2494922252189413E-3</v>
      </c>
      <c r="C41" s="58">
        <v>1.652892561983471E-3</v>
      </c>
      <c r="M41">
        <v>17</v>
      </c>
      <c r="N41">
        <v>1.6149808450865114E-2</v>
      </c>
      <c r="O41">
        <v>-8.2633731196348308E-3</v>
      </c>
      <c r="P41"/>
      <c r="Q41"/>
      <c r="R41"/>
      <c r="S41"/>
      <c r="T41"/>
      <c r="U41"/>
    </row>
    <row r="42" spans="1:21" x14ac:dyDescent="0.25">
      <c r="A42" s="33" t="s">
        <v>596</v>
      </c>
      <c r="B42" s="58">
        <v>6.2167146735188682E-3</v>
      </c>
      <c r="C42" s="58">
        <v>3.3003300330033004E-3</v>
      </c>
      <c r="M42">
        <v>18</v>
      </c>
      <c r="N42">
        <v>6.633283332605492E-3</v>
      </c>
      <c r="O42">
        <v>4.3213332558139136E-3</v>
      </c>
      <c r="P42"/>
      <c r="Q42"/>
      <c r="R42"/>
      <c r="S42"/>
      <c r="T42"/>
      <c r="U42"/>
    </row>
    <row r="43" spans="1:21" x14ac:dyDescent="0.25">
      <c r="A43" s="33" t="s">
        <v>595</v>
      </c>
      <c r="B43" s="58">
        <v>1.7381633955970324E-3</v>
      </c>
      <c r="C43" s="58">
        <v>-4.9342105263157892E-3</v>
      </c>
      <c r="M43">
        <v>19</v>
      </c>
      <c r="N43">
        <v>-1.1638145169998703E-2</v>
      </c>
      <c r="O43">
        <v>-8.4856938392892222E-3</v>
      </c>
      <c r="P43"/>
      <c r="Q43"/>
      <c r="R43"/>
      <c r="S43"/>
      <c r="T43"/>
      <c r="U43"/>
    </row>
    <row r="44" spans="1:21" x14ac:dyDescent="0.25">
      <c r="A44" s="33" t="s">
        <v>594</v>
      </c>
      <c r="B44" s="58">
        <v>1.2561316080540333E-2</v>
      </c>
      <c r="C44" s="58">
        <v>1.6528925619834711E-2</v>
      </c>
      <c r="M44">
        <v>20</v>
      </c>
      <c r="N44">
        <v>-8.7259488322551874E-3</v>
      </c>
      <c r="O44">
        <v>-2.760896427990911E-2</v>
      </c>
      <c r="P44"/>
      <c r="Q44"/>
      <c r="R44"/>
      <c r="S44"/>
      <c r="T44"/>
      <c r="U44"/>
    </row>
    <row r="45" spans="1:21" x14ac:dyDescent="0.25">
      <c r="A45" s="33" t="s">
        <v>593</v>
      </c>
      <c r="B45" s="58">
        <v>2.9643225507793253E-4</v>
      </c>
      <c r="C45" s="58">
        <v>-1.3008130081300813E-2</v>
      </c>
      <c r="M45">
        <v>21</v>
      </c>
      <c r="N45">
        <v>1.0306941682385584E-2</v>
      </c>
      <c r="O45">
        <v>2.8078124159750719E-3</v>
      </c>
      <c r="P45"/>
      <c r="Q45"/>
      <c r="R45"/>
      <c r="S45"/>
      <c r="T45"/>
      <c r="U45"/>
    </row>
    <row r="46" spans="1:21" x14ac:dyDescent="0.25">
      <c r="A46" s="33" t="s">
        <v>592</v>
      </c>
      <c r="B46" s="58">
        <v>-1.2763107150831208E-2</v>
      </c>
      <c r="C46" s="58">
        <v>-6.5897858319604614E-3</v>
      </c>
      <c r="M46">
        <v>22</v>
      </c>
      <c r="N46">
        <v>8.0799260439764434E-3</v>
      </c>
      <c r="O46">
        <v>1.9428164570910289E-2</v>
      </c>
      <c r="P46"/>
      <c r="Q46"/>
      <c r="R46"/>
      <c r="S46"/>
      <c r="T46"/>
      <c r="U46"/>
    </row>
    <row r="47" spans="1:21" x14ac:dyDescent="0.25">
      <c r="A47" s="33" t="s">
        <v>591</v>
      </c>
      <c r="B47" s="58">
        <v>-5.2715766619651676E-3</v>
      </c>
      <c r="C47" s="58">
        <v>-3.3167495854063019E-3</v>
      </c>
      <c r="M47">
        <v>23</v>
      </c>
      <c r="N47">
        <v>5.1887928632756352E-3</v>
      </c>
      <c r="O47">
        <v>-4.6438341445673766E-4</v>
      </c>
      <c r="P47"/>
      <c r="Q47"/>
      <c r="R47"/>
      <c r="S47"/>
      <c r="T47"/>
      <c r="U47"/>
    </row>
    <row r="48" spans="1:21" x14ac:dyDescent="0.25">
      <c r="A48" s="33" t="s">
        <v>590</v>
      </c>
      <c r="B48" s="58">
        <v>-1.0127775320471747E-2</v>
      </c>
      <c r="C48" s="58">
        <v>-9.9833610648918467E-3</v>
      </c>
      <c r="M48">
        <v>24</v>
      </c>
      <c r="N48">
        <v>-1.4889270085345093E-2</v>
      </c>
      <c r="O48">
        <v>-1.959348853534456E-2</v>
      </c>
      <c r="P48"/>
      <c r="Q48"/>
      <c r="R48"/>
      <c r="S48"/>
      <c r="T48"/>
      <c r="U48"/>
    </row>
    <row r="49" spans="1:21" x14ac:dyDescent="0.25">
      <c r="A49" s="33" t="s">
        <v>589</v>
      </c>
      <c r="B49" s="58">
        <v>6.6859044763403182E-3</v>
      </c>
      <c r="C49" s="58">
        <v>8.4033613445378148E-3</v>
      </c>
      <c r="M49">
        <v>25</v>
      </c>
      <c r="N49">
        <v>6.0027246482305197E-3</v>
      </c>
      <c r="O49">
        <v>-1.1325947781006497E-3</v>
      </c>
      <c r="P49"/>
      <c r="Q49"/>
      <c r="R49"/>
      <c r="S49"/>
      <c r="T49"/>
      <c r="U49"/>
    </row>
    <row r="50" spans="1:21" x14ac:dyDescent="0.25">
      <c r="A50" s="33" t="s">
        <v>588</v>
      </c>
      <c r="B50" s="58">
        <v>-2.5566249066622464E-2</v>
      </c>
      <c r="C50" s="58">
        <v>-1.6666666666666666E-2</v>
      </c>
      <c r="M50">
        <v>26</v>
      </c>
      <c r="N50">
        <v>1.2927488400108286E-2</v>
      </c>
      <c r="O50">
        <v>6.4586182234781433E-3</v>
      </c>
      <c r="P50"/>
      <c r="Q50"/>
      <c r="R50"/>
      <c r="S50"/>
      <c r="T50"/>
      <c r="U50"/>
    </row>
    <row r="51" spans="1:21" x14ac:dyDescent="0.25">
      <c r="A51" s="33" t="s">
        <v>587</v>
      </c>
      <c r="B51" s="58">
        <v>1.3090844072082658E-2</v>
      </c>
      <c r="C51" s="58">
        <v>1.3559322033898305E-2</v>
      </c>
      <c r="M51">
        <v>27</v>
      </c>
      <c r="N51">
        <v>7.7797528238521393E-5</v>
      </c>
      <c r="O51">
        <v>-1.6625835821212473E-3</v>
      </c>
      <c r="P51"/>
      <c r="Q51"/>
      <c r="R51"/>
      <c r="S51"/>
      <c r="T51"/>
      <c r="U51"/>
    </row>
    <row r="52" spans="1:21" x14ac:dyDescent="0.25">
      <c r="A52" s="33" t="s">
        <v>586</v>
      </c>
      <c r="B52" s="58">
        <v>-7.6059368329044826E-4</v>
      </c>
      <c r="C52" s="58">
        <v>1.6722408026755853E-3</v>
      </c>
      <c r="M52">
        <v>28</v>
      </c>
      <c r="N52">
        <v>-3.5311651164641523E-3</v>
      </c>
      <c r="O52">
        <v>3.565619418609777E-4</v>
      </c>
      <c r="P52"/>
      <c r="Q52"/>
      <c r="R52"/>
      <c r="S52"/>
      <c r="T52"/>
      <c r="U52"/>
    </row>
    <row r="53" spans="1:21" x14ac:dyDescent="0.25">
      <c r="A53" s="33" t="s">
        <v>585</v>
      </c>
      <c r="B53" s="58">
        <v>7.4771543077745591E-3</v>
      </c>
      <c r="C53" s="58">
        <v>2.337228714524207E-2</v>
      </c>
      <c r="M53">
        <v>29</v>
      </c>
      <c r="N53">
        <v>-5.5167671800984228E-3</v>
      </c>
      <c r="O53">
        <v>7.1091238679965117E-3</v>
      </c>
      <c r="P53"/>
      <c r="Q53"/>
      <c r="R53"/>
      <c r="S53"/>
      <c r="T53"/>
      <c r="U53"/>
    </row>
    <row r="54" spans="1:21" x14ac:dyDescent="0.25">
      <c r="A54" s="33" t="s">
        <v>584</v>
      </c>
      <c r="B54" s="58">
        <v>-6.8831944032826603E-3</v>
      </c>
      <c r="C54" s="58">
        <v>-1.794453507340946E-2</v>
      </c>
      <c r="M54">
        <v>30</v>
      </c>
      <c r="N54">
        <v>5.7533834199430612E-3</v>
      </c>
      <c r="O54">
        <v>-9.8390806223240968E-4</v>
      </c>
      <c r="P54"/>
      <c r="Q54"/>
      <c r="R54"/>
      <c r="S54"/>
      <c r="T54"/>
      <c r="U54"/>
    </row>
    <row r="55" spans="1:21" x14ac:dyDescent="0.25">
      <c r="A55" s="33" t="s">
        <v>583</v>
      </c>
      <c r="B55" s="58">
        <v>3.8458305312710538E-3</v>
      </c>
      <c r="C55" s="58">
        <v>1.6611295681063123E-3</v>
      </c>
      <c r="M55">
        <v>31</v>
      </c>
      <c r="N55">
        <v>-1.3304909392867766E-2</v>
      </c>
      <c r="O55">
        <v>-2.5178754172588171E-3</v>
      </c>
      <c r="P55"/>
      <c r="Q55"/>
      <c r="R55"/>
      <c r="S55"/>
      <c r="T55"/>
      <c r="U55"/>
    </row>
    <row r="56" spans="1:21" x14ac:dyDescent="0.25">
      <c r="A56" s="33" t="s">
        <v>582</v>
      </c>
      <c r="B56" s="58">
        <v>1.1978981305085155E-2</v>
      </c>
      <c r="C56" s="58">
        <v>1.3266998341625208E-2</v>
      </c>
      <c r="M56">
        <v>32</v>
      </c>
      <c r="N56">
        <v>1.9014400038816489E-2</v>
      </c>
      <c r="O56">
        <v>5.1013555881931558E-3</v>
      </c>
      <c r="P56"/>
      <c r="Q56"/>
      <c r="R56"/>
      <c r="S56"/>
      <c r="T56"/>
      <c r="U56"/>
    </row>
    <row r="57" spans="1:21" x14ac:dyDescent="0.25">
      <c r="A57" s="33" t="s">
        <v>581</v>
      </c>
      <c r="B57" s="58">
        <v>3.111346484840453E-3</v>
      </c>
      <c r="C57" s="58">
        <v>1.9639934533551555E-2</v>
      </c>
      <c r="M57">
        <v>33</v>
      </c>
      <c r="N57">
        <v>-8.2100792026022096E-3</v>
      </c>
      <c r="O57">
        <v>-9.0583666372722003E-3</v>
      </c>
      <c r="P57"/>
      <c r="Q57"/>
      <c r="R57"/>
      <c r="S57"/>
      <c r="T57"/>
      <c r="U57"/>
    </row>
    <row r="58" spans="1:21" x14ac:dyDescent="0.25">
      <c r="A58" s="33" t="s">
        <v>580</v>
      </c>
      <c r="B58" s="58">
        <v>-3.9266151917112047E-3</v>
      </c>
      <c r="C58" s="58">
        <v>1.1235955056179775E-2</v>
      </c>
      <c r="M58">
        <v>34</v>
      </c>
      <c r="N58">
        <v>2.3452120515213538E-3</v>
      </c>
      <c r="O58">
        <v>-7.4776796206448481E-4</v>
      </c>
      <c r="P58"/>
      <c r="Q58"/>
      <c r="R58"/>
      <c r="S58"/>
      <c r="T58"/>
      <c r="U58"/>
    </row>
    <row r="59" spans="1:21" x14ac:dyDescent="0.25">
      <c r="A59" s="33" t="s">
        <v>579</v>
      </c>
      <c r="B59" s="58">
        <v>-2.3768509623348778E-3</v>
      </c>
      <c r="C59" s="58">
        <v>-1.4285714285714285E-2</v>
      </c>
      <c r="M59">
        <v>35</v>
      </c>
      <c r="N59">
        <v>2.3164589116428584E-3</v>
      </c>
      <c r="O59">
        <v>-1.188583690207348E-2</v>
      </c>
      <c r="P59"/>
      <c r="Q59"/>
      <c r="R59"/>
      <c r="S59"/>
      <c r="T59"/>
      <c r="U59"/>
    </row>
    <row r="60" spans="1:21" x14ac:dyDescent="0.25">
      <c r="A60" s="33" t="s">
        <v>578</v>
      </c>
      <c r="B60" s="58">
        <v>1.0675654361162641E-2</v>
      </c>
      <c r="C60" s="58">
        <v>1.2882447665056361E-2</v>
      </c>
      <c r="M60">
        <v>36</v>
      </c>
      <c r="N60">
        <v>-1.4676455163978478E-2</v>
      </c>
      <c r="O60">
        <v>-1.4266044173419715E-3</v>
      </c>
      <c r="P60"/>
      <c r="Q60"/>
      <c r="R60"/>
      <c r="S60"/>
      <c r="T60"/>
      <c r="U60"/>
    </row>
    <row r="61" spans="1:21" x14ac:dyDescent="0.25">
      <c r="A61" s="33" t="s">
        <v>577</v>
      </c>
      <c r="B61" s="58">
        <v>3.6879758844160504E-3</v>
      </c>
      <c r="C61" s="58">
        <v>-3.1796502384737681E-3</v>
      </c>
      <c r="M61">
        <v>37</v>
      </c>
      <c r="N61">
        <v>9.0681167676704508E-3</v>
      </c>
      <c r="O61">
        <v>5.6618341324932153E-3</v>
      </c>
      <c r="P61"/>
      <c r="Q61"/>
      <c r="R61"/>
      <c r="S61"/>
      <c r="T61"/>
      <c r="U61"/>
    </row>
    <row r="62" spans="1:21" x14ac:dyDescent="0.25">
      <c r="A62" s="33" t="s">
        <v>576</v>
      </c>
      <c r="B62" s="58">
        <v>3.7808111558478926E-3</v>
      </c>
      <c r="C62" s="58">
        <v>7.9744816586921844E-3</v>
      </c>
      <c r="M62">
        <v>38</v>
      </c>
      <c r="N62">
        <v>-5.0085433118076022E-3</v>
      </c>
      <c r="O62">
        <v>-6.2817792688375585E-3</v>
      </c>
      <c r="P62"/>
      <c r="Q62"/>
      <c r="R62"/>
      <c r="S62"/>
      <c r="T62"/>
      <c r="U62"/>
    </row>
    <row r="63" spans="1:21" x14ac:dyDescent="0.25">
      <c r="A63" s="33" t="s">
        <v>575</v>
      </c>
      <c r="B63" s="58">
        <v>9.6610086582205289E-3</v>
      </c>
      <c r="C63" s="58">
        <v>1.2658227848101266E-2</v>
      </c>
      <c r="M63">
        <v>39</v>
      </c>
      <c r="N63">
        <v>-7.1435792729991707E-3</v>
      </c>
      <c r="O63">
        <v>-5.9069916894804383E-3</v>
      </c>
      <c r="P63"/>
      <c r="Q63"/>
      <c r="R63"/>
      <c r="S63"/>
      <c r="T63"/>
      <c r="U63"/>
    </row>
    <row r="64" spans="1:21" x14ac:dyDescent="0.25">
      <c r="A64" s="33" t="s">
        <v>574</v>
      </c>
      <c r="B64" s="58">
        <v>-1.824891192881302E-3</v>
      </c>
      <c r="C64" s="58">
        <v>-1.40625E-2</v>
      </c>
      <c r="M64">
        <v>40</v>
      </c>
      <c r="N64">
        <v>4.80304591398561E-3</v>
      </c>
      <c r="O64">
        <v>-3.150153352002139E-3</v>
      </c>
      <c r="P64"/>
      <c r="Q64"/>
      <c r="R64"/>
      <c r="S64"/>
      <c r="T64"/>
      <c r="U64"/>
    </row>
    <row r="65" spans="1:21" x14ac:dyDescent="0.25">
      <c r="A65" s="33" t="s">
        <v>573</v>
      </c>
      <c r="B65" s="58">
        <v>3.3045616703204542E-3</v>
      </c>
      <c r="C65" s="58">
        <v>7.9239302694136295E-3</v>
      </c>
      <c r="M65">
        <v>41</v>
      </c>
      <c r="N65">
        <v>6.6246160589536812E-3</v>
      </c>
      <c r="O65">
        <v>-3.3242860259503808E-3</v>
      </c>
      <c r="P65"/>
      <c r="Q65"/>
      <c r="R65"/>
      <c r="S65"/>
      <c r="T65"/>
      <c r="U65"/>
    </row>
    <row r="66" spans="1:21" x14ac:dyDescent="0.25">
      <c r="A66" s="33" t="s">
        <v>572</v>
      </c>
      <c r="B66" s="58">
        <v>5.9262006603479998E-3</v>
      </c>
      <c r="C66" s="58">
        <v>4.7169811320754715E-3</v>
      </c>
      <c r="M66">
        <v>42</v>
      </c>
      <c r="N66">
        <v>2.4776547899720484E-3</v>
      </c>
      <c r="O66">
        <v>-7.4118653162878381E-3</v>
      </c>
      <c r="P66"/>
      <c r="Q66"/>
      <c r="R66"/>
      <c r="S66"/>
      <c r="T66"/>
      <c r="U66"/>
    </row>
    <row r="67" spans="1:21" x14ac:dyDescent="0.25">
      <c r="A67" s="33" t="s">
        <v>571</v>
      </c>
      <c r="B67" s="58">
        <v>-1.4419628007261921E-2</v>
      </c>
      <c r="C67" s="58">
        <v>-2.5039123630672927E-2</v>
      </c>
      <c r="M67">
        <v>43</v>
      </c>
      <c r="N67">
        <v>1.2499465908669656E-2</v>
      </c>
      <c r="O67">
        <v>4.0294597111650548E-3</v>
      </c>
      <c r="P67"/>
      <c r="Q67"/>
      <c r="R67"/>
      <c r="S67"/>
      <c r="T67"/>
      <c r="U67"/>
    </row>
    <row r="68" spans="1:21" x14ac:dyDescent="0.25">
      <c r="A68" s="33" t="s">
        <v>570</v>
      </c>
      <c r="B68" s="58">
        <v>1.2678765304587142E-2</v>
      </c>
      <c r="C68" s="58">
        <v>4.3338683788121987E-2</v>
      </c>
      <c r="M68">
        <v>44</v>
      </c>
      <c r="N68">
        <v>1.1426688025409199E-3</v>
      </c>
      <c r="O68">
        <v>-1.4150798883841733E-2</v>
      </c>
      <c r="P68"/>
      <c r="Q68"/>
      <c r="R68"/>
      <c r="S68"/>
      <c r="T68"/>
      <c r="U68"/>
    </row>
    <row r="69" spans="1:21" x14ac:dyDescent="0.25">
      <c r="A69" s="33" t="s">
        <v>569</v>
      </c>
      <c r="B69" s="58">
        <v>8.7013784878795363E-3</v>
      </c>
      <c r="C69" s="58">
        <v>1.0769230769230769E-2</v>
      </c>
      <c r="M69">
        <v>45</v>
      </c>
      <c r="N69">
        <v>-1.0949947926897323E-2</v>
      </c>
      <c r="O69">
        <v>4.3601620949368612E-3</v>
      </c>
      <c r="P69"/>
      <c r="Q69"/>
      <c r="R69"/>
      <c r="S69"/>
      <c r="T69"/>
      <c r="U69"/>
    </row>
    <row r="70" spans="1:21" x14ac:dyDescent="0.25">
      <c r="A70" s="33" t="s">
        <v>568</v>
      </c>
      <c r="B70" s="58">
        <v>1.424317696888642E-2</v>
      </c>
      <c r="C70" s="58">
        <v>3.0441400304414001E-3</v>
      </c>
      <c r="M70">
        <v>46</v>
      </c>
      <c r="N70">
        <v>-4.0130871308904402E-3</v>
      </c>
      <c r="O70">
        <v>6.9633754548413833E-4</v>
      </c>
      <c r="P70"/>
      <c r="Q70"/>
      <c r="R70"/>
      <c r="S70"/>
      <c r="T70"/>
      <c r="U70"/>
    </row>
    <row r="71" spans="1:21" x14ac:dyDescent="0.25">
      <c r="A71" s="33" t="s">
        <v>567</v>
      </c>
      <c r="B71" s="58">
        <v>1.0911117565328334E-3</v>
      </c>
      <c r="C71" s="58">
        <v>1.5174506828528073E-3</v>
      </c>
      <c r="M71">
        <v>47</v>
      </c>
      <c r="N71">
        <v>-8.5097349309469182E-3</v>
      </c>
      <c r="O71">
        <v>-1.4736261339449285E-3</v>
      </c>
      <c r="P71"/>
      <c r="Q71"/>
      <c r="R71"/>
      <c r="S71"/>
      <c r="T71"/>
      <c r="U71"/>
    </row>
    <row r="72" spans="1:21" x14ac:dyDescent="0.25">
      <c r="A72" s="33" t="s">
        <v>566</v>
      </c>
      <c r="B72" s="58">
        <v>4.320484270614427E-3</v>
      </c>
      <c r="C72" s="58">
        <v>1.5151515151515152E-3</v>
      </c>
      <c r="M72">
        <v>48</v>
      </c>
      <c r="N72">
        <v>7.0590672507249057E-3</v>
      </c>
      <c r="O72">
        <v>1.344294093812909E-3</v>
      </c>
      <c r="P72"/>
      <c r="Q72"/>
      <c r="R72"/>
      <c r="S72"/>
      <c r="T72"/>
      <c r="U72"/>
    </row>
    <row r="73" spans="1:21" x14ac:dyDescent="0.25">
      <c r="A73" s="33" t="s">
        <v>565</v>
      </c>
      <c r="B73" s="58">
        <v>3.8373554648157555E-3</v>
      </c>
      <c r="C73" s="58">
        <v>-1.5128593040847202E-2</v>
      </c>
      <c r="M73">
        <v>49</v>
      </c>
      <c r="N73">
        <v>-2.2805150726026308E-2</v>
      </c>
      <c r="O73">
        <v>6.1384840593596418E-3</v>
      </c>
      <c r="P73"/>
      <c r="Q73"/>
      <c r="R73"/>
      <c r="S73"/>
      <c r="T73"/>
      <c r="U73"/>
    </row>
    <row r="74" spans="1:21" x14ac:dyDescent="0.25">
      <c r="A74" s="33" t="s">
        <v>564</v>
      </c>
      <c r="B74" s="58">
        <v>1.7188478275241487E-3</v>
      </c>
      <c r="C74" s="58">
        <v>3.0721966205837174E-3</v>
      </c>
      <c r="M74">
        <v>50</v>
      </c>
      <c r="N74">
        <v>1.2989787875639884E-2</v>
      </c>
      <c r="O74">
        <v>5.6953415825842027E-4</v>
      </c>
      <c r="P74"/>
      <c r="Q74"/>
      <c r="R74"/>
      <c r="S74"/>
      <c r="T74"/>
      <c r="U74"/>
    </row>
    <row r="75" spans="1:21" x14ac:dyDescent="0.25">
      <c r="A75" s="33" t="s">
        <v>563</v>
      </c>
      <c r="B75" s="58">
        <v>-1.8711833876182433E-3</v>
      </c>
      <c r="C75" s="58">
        <v>4.5941807044410417E-3</v>
      </c>
      <c r="M75">
        <v>51</v>
      </c>
      <c r="N75">
        <v>1.6390460967972433E-4</v>
      </c>
      <c r="O75">
        <v>1.5083361929958609E-3</v>
      </c>
      <c r="P75"/>
      <c r="Q75"/>
      <c r="R75"/>
      <c r="S75"/>
      <c r="T75"/>
      <c r="U75"/>
    </row>
    <row r="76" spans="1:21" x14ac:dyDescent="0.25">
      <c r="A76" s="33" t="s">
        <v>562</v>
      </c>
      <c r="B76" s="58">
        <v>1.5518709963477674E-3</v>
      </c>
      <c r="C76" s="58">
        <v>-1.5243902439024391E-3</v>
      </c>
      <c r="M76">
        <v>52</v>
      </c>
      <c r="N76">
        <v>7.7917332852128806E-3</v>
      </c>
      <c r="O76">
        <v>1.5580553860029191E-2</v>
      </c>
      <c r="P76"/>
      <c r="Q76"/>
      <c r="R76"/>
      <c r="S76"/>
      <c r="T76"/>
      <c r="U76"/>
    </row>
    <row r="77" spans="1:21" x14ac:dyDescent="0.25">
      <c r="A77" s="33" t="s">
        <v>561</v>
      </c>
      <c r="B77" s="58">
        <v>-4.6483992730322167E-3</v>
      </c>
      <c r="C77" s="58">
        <v>-3.0534351145038168E-3</v>
      </c>
      <c r="M77">
        <v>53</v>
      </c>
      <c r="N77">
        <v>-5.5053813883201635E-3</v>
      </c>
      <c r="O77">
        <v>-1.2439153685089296E-2</v>
      </c>
      <c r="P77"/>
      <c r="Q77"/>
      <c r="R77"/>
      <c r="S77"/>
      <c r="T77"/>
      <c r="U77"/>
    </row>
    <row r="78" spans="1:21" x14ac:dyDescent="0.25">
      <c r="A78" s="33" t="s">
        <v>560</v>
      </c>
      <c r="B78" s="58">
        <v>-7.2997257238277078E-3</v>
      </c>
      <c r="C78" s="58">
        <v>6.1255742725880554E-3</v>
      </c>
      <c r="M78">
        <v>54</v>
      </c>
      <c r="N78">
        <v>4.4292711581118372E-3</v>
      </c>
      <c r="O78">
        <v>-2.7681415900055249E-3</v>
      </c>
      <c r="P78"/>
      <c r="Q78"/>
      <c r="R78"/>
      <c r="S78"/>
      <c r="T78"/>
      <c r="U78"/>
    </row>
    <row r="79" spans="1:21" x14ac:dyDescent="0.25">
      <c r="A79" s="33" t="s">
        <v>559</v>
      </c>
      <c r="B79" s="58">
        <v>-8.2141172771577151E-3</v>
      </c>
      <c r="C79" s="58">
        <v>-7.6103500761035003E-3</v>
      </c>
      <c r="M79">
        <v>55</v>
      </c>
      <c r="N79">
        <v>1.1960246949338164E-2</v>
      </c>
      <c r="O79">
        <v>1.3067513922870432E-3</v>
      </c>
      <c r="P79"/>
      <c r="Q79"/>
      <c r="R79"/>
      <c r="S79"/>
      <c r="T79"/>
      <c r="U79"/>
    </row>
    <row r="80" spans="1:21" x14ac:dyDescent="0.25">
      <c r="A80" s="33" t="s">
        <v>558</v>
      </c>
      <c r="B80" s="58">
        <v>-1.3663562512383601E-2</v>
      </c>
      <c r="C80" s="58">
        <v>-2.4539877300613498E-2</v>
      </c>
      <c r="M80">
        <v>56</v>
      </c>
      <c r="N80">
        <v>3.7491679943392046E-3</v>
      </c>
      <c r="O80">
        <v>1.5890766539212349E-2</v>
      </c>
      <c r="P80"/>
      <c r="Q80"/>
      <c r="R80"/>
      <c r="S80"/>
      <c r="T80"/>
      <c r="U80"/>
    </row>
    <row r="81" spans="1:21" x14ac:dyDescent="0.25">
      <c r="A81" s="33" t="s">
        <v>557</v>
      </c>
      <c r="B81" s="58">
        <v>-1.6833934640943242E-3</v>
      </c>
      <c r="C81" s="58">
        <v>7.8616352201257862E-3</v>
      </c>
      <c r="M81">
        <v>57</v>
      </c>
      <c r="N81">
        <v>-2.7677060289900317E-3</v>
      </c>
      <c r="O81">
        <v>1.4003661085169806E-2</v>
      </c>
      <c r="P81"/>
      <c r="Q81"/>
      <c r="R81"/>
      <c r="S81"/>
      <c r="T81"/>
      <c r="U81"/>
    </row>
    <row r="82" spans="1:21" x14ac:dyDescent="0.25">
      <c r="A82" s="33" t="s">
        <v>556</v>
      </c>
      <c r="B82" s="58">
        <v>4.4188133594652429E-3</v>
      </c>
      <c r="C82" s="58">
        <v>7.8003120124804995E-3</v>
      </c>
      <c r="M82">
        <v>58</v>
      </c>
      <c r="N82">
        <v>-1.3326856761006027E-3</v>
      </c>
      <c r="O82">
        <v>-1.2953028609613683E-2</v>
      </c>
      <c r="P82"/>
      <c r="Q82"/>
      <c r="R82"/>
      <c r="S82"/>
      <c r="T82"/>
      <c r="U82"/>
    </row>
    <row r="83" spans="1:21" x14ac:dyDescent="0.25">
      <c r="A83" s="33" t="s">
        <v>555</v>
      </c>
      <c r="B83" s="58">
        <v>2.2918411257268202E-3</v>
      </c>
      <c r="C83" s="58">
        <v>1.393188854489164E-2</v>
      </c>
      <c r="M83">
        <v>59</v>
      </c>
      <c r="N83">
        <v>1.0753417771360135E-2</v>
      </c>
      <c r="O83">
        <v>2.1290298936962257E-3</v>
      </c>
      <c r="P83"/>
      <c r="Q83"/>
      <c r="R83"/>
      <c r="S83"/>
      <c r="T83"/>
      <c r="U83"/>
    </row>
    <row r="84" spans="1:21" x14ac:dyDescent="0.25">
      <c r="A84" s="33" t="s">
        <v>554</v>
      </c>
      <c r="B84" s="58">
        <v>9.1384072947354907E-3</v>
      </c>
      <c r="C84" s="58">
        <v>3.0534351145038168E-3</v>
      </c>
      <c r="M84">
        <v>60</v>
      </c>
      <c r="N84">
        <v>4.2831040013655087E-3</v>
      </c>
      <c r="O84">
        <v>-7.4627542398392772E-3</v>
      </c>
      <c r="P84"/>
      <c r="Q84"/>
      <c r="R84"/>
      <c r="S84"/>
      <c r="T84"/>
      <c r="U84"/>
    </row>
    <row r="85" spans="1:21" x14ac:dyDescent="0.25">
      <c r="A85" s="33" t="s">
        <v>553</v>
      </c>
      <c r="B85" s="58">
        <v>-9.1071506383719556E-3</v>
      </c>
      <c r="C85" s="58">
        <v>-4.5662100456621002E-3</v>
      </c>
      <c r="M85">
        <v>61</v>
      </c>
      <c r="N85">
        <v>4.3690657892590905E-3</v>
      </c>
      <c r="O85">
        <v>3.6054158694330939E-3</v>
      </c>
      <c r="P85"/>
      <c r="Q85"/>
      <c r="R85"/>
      <c r="S85"/>
      <c r="T85"/>
      <c r="U85"/>
    </row>
    <row r="86" spans="1:21" x14ac:dyDescent="0.25">
      <c r="A86" s="33" t="s">
        <v>552</v>
      </c>
      <c r="B86" s="58">
        <v>-1.8389701767011928E-4</v>
      </c>
      <c r="C86" s="58">
        <v>-4.5871559633027525E-3</v>
      </c>
      <c r="M86">
        <v>62</v>
      </c>
      <c r="N86">
        <v>9.8138959995357281E-3</v>
      </c>
      <c r="O86">
        <v>2.8443318485655376E-3</v>
      </c>
      <c r="P86"/>
      <c r="Q86"/>
      <c r="R86"/>
      <c r="S86"/>
      <c r="T86"/>
      <c r="U86"/>
    </row>
    <row r="87" spans="1:21" x14ac:dyDescent="0.25">
      <c r="A87" s="33" t="s">
        <v>551</v>
      </c>
      <c r="B87" s="58">
        <v>4.9061552856126019E-3</v>
      </c>
      <c r="C87" s="58">
        <v>1.2288786482334869E-2</v>
      </c>
      <c r="M87">
        <v>63</v>
      </c>
      <c r="N87">
        <v>-8.2159277040049319E-4</v>
      </c>
      <c r="O87">
        <v>-1.3240907229599507E-2</v>
      </c>
      <c r="P87"/>
      <c r="Q87"/>
      <c r="R87"/>
      <c r="S87"/>
      <c r="T87"/>
      <c r="U87"/>
    </row>
    <row r="88" spans="1:21" x14ac:dyDescent="0.25">
      <c r="A88" s="33" t="s">
        <v>550</v>
      </c>
      <c r="B88" s="58">
        <v>-1.2533771551124222E-3</v>
      </c>
      <c r="C88" s="58">
        <v>-9.104704097116844E-3</v>
      </c>
      <c r="M88">
        <v>64</v>
      </c>
      <c r="N88">
        <v>3.9280776106507698E-3</v>
      </c>
      <c r="O88">
        <v>3.9958526587628596E-3</v>
      </c>
      <c r="P88"/>
      <c r="Q88"/>
      <c r="R88"/>
      <c r="S88"/>
      <c r="T88"/>
      <c r="U88"/>
    </row>
    <row r="89" spans="1:21" x14ac:dyDescent="0.25">
      <c r="A89" s="33" t="s">
        <v>549</v>
      </c>
      <c r="B89" s="58">
        <v>-5.3982773320158592E-3</v>
      </c>
      <c r="C89" s="58">
        <v>-1.0719754977029096E-2</v>
      </c>
      <c r="M89">
        <v>65</v>
      </c>
      <c r="N89">
        <v>6.3556115782737038E-3</v>
      </c>
      <c r="O89">
        <v>-1.6386304461982323E-3</v>
      </c>
      <c r="P89"/>
      <c r="Q89"/>
      <c r="R89"/>
      <c r="S89"/>
      <c r="T89"/>
      <c r="U89"/>
    </row>
    <row r="90" spans="1:21" x14ac:dyDescent="0.25">
      <c r="A90" s="33" t="s">
        <v>548</v>
      </c>
      <c r="B90" s="58">
        <v>-2.2070810851950195E-3</v>
      </c>
      <c r="C90" s="58">
        <v>-6.1919504643962852E-3</v>
      </c>
      <c r="M90">
        <v>66</v>
      </c>
      <c r="N90">
        <v>-1.2483820692124673E-2</v>
      </c>
      <c r="O90">
        <v>-1.2555302938548254E-2</v>
      </c>
      <c r="P90"/>
      <c r="Q90"/>
      <c r="R90"/>
      <c r="S90"/>
      <c r="T90"/>
      <c r="U90"/>
    </row>
    <row r="91" spans="1:21" x14ac:dyDescent="0.25">
      <c r="A91" s="33" t="s">
        <v>547</v>
      </c>
      <c r="B91" s="58">
        <v>-6.2545162585306811E-3</v>
      </c>
      <c r="C91" s="58">
        <v>-1.557632398753894E-3</v>
      </c>
      <c r="M91">
        <v>67</v>
      </c>
      <c r="N91">
        <v>1.2608219242721036E-2</v>
      </c>
      <c r="O91">
        <v>3.0730464545400953E-2</v>
      </c>
      <c r="P91"/>
      <c r="Q91"/>
      <c r="R91"/>
      <c r="S91"/>
      <c r="T91"/>
      <c r="U91"/>
    </row>
    <row r="92" spans="1:21" x14ac:dyDescent="0.25">
      <c r="A92" s="33" t="s">
        <v>546</v>
      </c>
      <c r="B92" s="58">
        <v>1.5876093753786574E-3</v>
      </c>
      <c r="C92" s="58">
        <v>6.2402496099843996E-3</v>
      </c>
      <c r="M92">
        <v>68</v>
      </c>
      <c r="N92">
        <v>8.9253164339586754E-3</v>
      </c>
      <c r="O92">
        <v>1.8439143352720934E-3</v>
      </c>
      <c r="P92"/>
      <c r="Q92"/>
      <c r="R92"/>
      <c r="S92"/>
      <c r="T92"/>
      <c r="U92"/>
    </row>
    <row r="93" spans="1:21" x14ac:dyDescent="0.25">
      <c r="A93" s="33" t="s">
        <v>545</v>
      </c>
      <c r="B93" s="58">
        <v>3.5896505132388437E-4</v>
      </c>
      <c r="C93" s="58">
        <v>1.3953488372093023E-2</v>
      </c>
      <c r="M93">
        <v>69</v>
      </c>
      <c r="N93">
        <v>1.4056802540756332E-2</v>
      </c>
      <c r="O93">
        <v>-1.1012662510314932E-2</v>
      </c>
      <c r="P93"/>
      <c r="Q93"/>
      <c r="R93"/>
      <c r="S93"/>
      <c r="T93"/>
      <c r="U93"/>
    </row>
    <row r="94" spans="1:21" x14ac:dyDescent="0.25">
      <c r="A94" s="33" t="s">
        <v>544</v>
      </c>
      <c r="B94" s="58">
        <v>5.8139534883721233E-3</v>
      </c>
      <c r="C94" s="58">
        <v>-6.1162079510703364E-3</v>
      </c>
      <c r="M94">
        <v>70</v>
      </c>
      <c r="N94">
        <v>1.8785105757574382E-3</v>
      </c>
      <c r="O94">
        <v>-3.6105989290463082E-4</v>
      </c>
      <c r="P94"/>
      <c r="Q94"/>
      <c r="R94"/>
      <c r="S94"/>
      <c r="T94"/>
      <c r="U94"/>
    </row>
    <row r="95" spans="1:21" x14ac:dyDescent="0.25">
      <c r="A95" s="33" t="s">
        <v>543</v>
      </c>
      <c r="B95" s="58">
        <v>8.3137581874885708E-3</v>
      </c>
      <c r="C95" s="58">
        <v>1.8461538461538463E-2</v>
      </c>
      <c r="M95">
        <v>71</v>
      </c>
      <c r="N95">
        <v>4.8687817388967129E-3</v>
      </c>
      <c r="O95">
        <v>-3.3536302237451975E-3</v>
      </c>
      <c r="P95"/>
      <c r="Q95"/>
      <c r="R95"/>
      <c r="S95"/>
      <c r="T95"/>
      <c r="U95"/>
    </row>
    <row r="96" spans="1:21" x14ac:dyDescent="0.25">
      <c r="A96" s="33" t="s">
        <v>542</v>
      </c>
      <c r="B96" s="58">
        <v>8.901168800190774E-3</v>
      </c>
      <c r="C96" s="58">
        <v>3.3232628398791542E-2</v>
      </c>
      <c r="M96">
        <v>72</v>
      </c>
      <c r="N96">
        <v>4.4214235819290152E-3</v>
      </c>
      <c r="O96">
        <v>-1.9550016622776216E-2</v>
      </c>
      <c r="P96"/>
      <c r="Q96"/>
      <c r="R96"/>
      <c r="S96"/>
      <c r="T96"/>
      <c r="U96"/>
    </row>
    <row r="97" spans="1:21" x14ac:dyDescent="0.25">
      <c r="A97" s="33" t="s">
        <v>541</v>
      </c>
      <c r="B97" s="58">
        <v>7.6011017460073382E-3</v>
      </c>
      <c r="C97" s="58">
        <v>1.4619883040935672E-3</v>
      </c>
      <c r="M97">
        <v>73</v>
      </c>
      <c r="N97">
        <v>2.4597693382453919E-3</v>
      </c>
      <c r="O97">
        <v>6.1242728233832549E-4</v>
      </c>
      <c r="P97"/>
      <c r="Q97"/>
      <c r="R97"/>
      <c r="S97"/>
      <c r="T97"/>
      <c r="U97"/>
    </row>
    <row r="98" spans="1:21" x14ac:dyDescent="0.25">
      <c r="A98" s="33" t="s">
        <v>540</v>
      </c>
      <c r="B98" s="58">
        <v>4.094514055094191E-3</v>
      </c>
      <c r="C98" s="58">
        <v>-1.4598540145985401E-3</v>
      </c>
      <c r="M98">
        <v>74</v>
      </c>
      <c r="N98">
        <v>-8.6445751096439493E-4</v>
      </c>
      <c r="O98">
        <v>5.4586382154054366E-3</v>
      </c>
      <c r="P98"/>
      <c r="Q98"/>
      <c r="R98"/>
      <c r="S98"/>
      <c r="T98"/>
      <c r="U98"/>
    </row>
    <row r="99" spans="1:21" x14ac:dyDescent="0.25">
      <c r="A99" s="33" t="s">
        <v>539</v>
      </c>
      <c r="B99" s="58">
        <v>-3.8947634905012087E-5</v>
      </c>
      <c r="C99" s="58">
        <v>1.4619883040935672E-3</v>
      </c>
      <c r="M99">
        <v>75</v>
      </c>
      <c r="N99">
        <v>2.3051553997784305E-3</v>
      </c>
      <c r="O99">
        <v>-3.8295456436808696E-3</v>
      </c>
      <c r="P99"/>
      <c r="Q99"/>
      <c r="R99"/>
      <c r="S99"/>
      <c r="T99"/>
      <c r="U99"/>
    </row>
    <row r="100" spans="1:21" x14ac:dyDescent="0.25">
      <c r="A100" s="33" t="s">
        <v>538</v>
      </c>
      <c r="B100" s="58">
        <v>-4.9699117801708954E-3</v>
      </c>
      <c r="C100" s="58">
        <v>4.3795620437956208E-3</v>
      </c>
      <c r="M100">
        <v>76</v>
      </c>
      <c r="N100">
        <v>-3.4360495276034163E-3</v>
      </c>
      <c r="O100">
        <v>3.8261441309959954E-4</v>
      </c>
      <c r="P100"/>
      <c r="Q100"/>
      <c r="R100"/>
      <c r="S100"/>
      <c r="T100"/>
      <c r="U100"/>
    </row>
    <row r="101" spans="1:21" x14ac:dyDescent="0.25">
      <c r="A101" s="33" t="s">
        <v>537</v>
      </c>
      <c r="B101" s="58">
        <v>1.6127201343411103E-3</v>
      </c>
      <c r="C101" s="58">
        <v>2.1802325581395349E-2</v>
      </c>
      <c r="M101">
        <v>77</v>
      </c>
      <c r="N101">
        <v>-5.891072909177242E-3</v>
      </c>
      <c r="O101">
        <v>1.2016647181765297E-2</v>
      </c>
      <c r="P101"/>
      <c r="Q101"/>
      <c r="R101"/>
      <c r="S101"/>
      <c r="T101"/>
      <c r="U101"/>
    </row>
    <row r="102" spans="1:21" x14ac:dyDescent="0.25">
      <c r="A102" s="33" t="s">
        <v>536</v>
      </c>
      <c r="B102" s="58">
        <v>1.0438445996381145E-2</v>
      </c>
      <c r="C102" s="58">
        <v>2.8449502133712661E-2</v>
      </c>
      <c r="M102">
        <v>78</v>
      </c>
      <c r="N102">
        <v>-6.7377633054750054E-3</v>
      </c>
      <c r="O102">
        <v>-8.7258677062849489E-4</v>
      </c>
      <c r="P102"/>
      <c r="Q102"/>
      <c r="R102"/>
      <c r="S102"/>
      <c r="T102"/>
      <c r="U102"/>
    </row>
    <row r="103" spans="1:21" x14ac:dyDescent="0.25">
      <c r="A103" s="33" t="s">
        <v>535</v>
      </c>
      <c r="B103" s="58">
        <v>-3.2488628979857404E-3</v>
      </c>
      <c r="C103" s="58">
        <v>-1.2448132780082987E-2</v>
      </c>
      <c r="M103">
        <v>79</v>
      </c>
      <c r="N103">
        <v>-1.1783733961058213E-2</v>
      </c>
      <c r="O103">
        <v>-1.2756143339555284E-2</v>
      </c>
      <c r="P103"/>
      <c r="Q103"/>
      <c r="R103"/>
      <c r="S103"/>
      <c r="T103"/>
      <c r="U103"/>
    </row>
    <row r="104" spans="1:21" x14ac:dyDescent="0.25">
      <c r="A104" s="33" t="s">
        <v>534</v>
      </c>
      <c r="B104" s="58">
        <v>-3.0848388899235653E-3</v>
      </c>
      <c r="C104" s="58">
        <v>-7.0028011204481795E-3</v>
      </c>
      <c r="M104">
        <v>80</v>
      </c>
      <c r="N104">
        <v>-6.9057147254884767E-4</v>
      </c>
      <c r="O104">
        <v>8.5522066926746344E-3</v>
      </c>
      <c r="P104"/>
      <c r="Q104"/>
      <c r="R104"/>
      <c r="S104"/>
      <c r="T104"/>
      <c r="U104"/>
    </row>
    <row r="105" spans="1:21" x14ac:dyDescent="0.25">
      <c r="A105" s="33" t="s">
        <v>533</v>
      </c>
      <c r="B105" s="58">
        <v>1.2529338268779432E-2</v>
      </c>
      <c r="C105" s="58">
        <v>1.8335684062059238E-2</v>
      </c>
      <c r="M105">
        <v>81</v>
      </c>
      <c r="N105">
        <v>4.9598305843322399E-3</v>
      </c>
      <c r="O105">
        <v>2.8404814281482596E-3</v>
      </c>
      <c r="P105"/>
      <c r="Q105"/>
      <c r="R105"/>
      <c r="S105"/>
      <c r="T105"/>
      <c r="U105"/>
    </row>
    <row r="106" spans="1:21" x14ac:dyDescent="0.25">
      <c r="A106" s="33" t="s">
        <v>532</v>
      </c>
      <c r="B106" s="58">
        <v>5.4010210043975949E-3</v>
      </c>
      <c r="C106" s="58">
        <v>-6.9252077562326868E-3</v>
      </c>
      <c r="M106">
        <v>82</v>
      </c>
      <c r="N106">
        <v>2.9903384592793554E-3</v>
      </c>
      <c r="O106">
        <v>1.0941550085612286E-2</v>
      </c>
      <c r="P106"/>
      <c r="Q106"/>
      <c r="R106"/>
      <c r="S106"/>
      <c r="T106"/>
      <c r="U106"/>
    </row>
    <row r="107" spans="1:21" x14ac:dyDescent="0.25">
      <c r="A107" s="33" t="s">
        <v>531</v>
      </c>
      <c r="B107" s="58">
        <v>7.2646353726587635E-5</v>
      </c>
      <c r="C107" s="58">
        <v>-9.7629009762900971E-3</v>
      </c>
      <c r="M107">
        <v>83</v>
      </c>
      <c r="N107">
        <v>9.3299878160628159E-3</v>
      </c>
      <c r="O107">
        <v>-6.2765527015589996E-3</v>
      </c>
      <c r="P107"/>
      <c r="Q107"/>
      <c r="R107"/>
      <c r="S107"/>
      <c r="T107"/>
      <c r="U107"/>
    </row>
    <row r="108" spans="1:21" x14ac:dyDescent="0.25">
      <c r="A108" s="33" t="s">
        <v>530</v>
      </c>
      <c r="B108" s="58">
        <v>-1.8160269154304941E-3</v>
      </c>
      <c r="C108" s="58">
        <v>-1.4084507042253522E-3</v>
      </c>
      <c r="M108">
        <v>84</v>
      </c>
      <c r="N108">
        <v>-7.5646768610081686E-3</v>
      </c>
      <c r="O108">
        <v>2.9984668153460684E-3</v>
      </c>
      <c r="P108"/>
      <c r="Q108"/>
      <c r="R108"/>
      <c r="S108"/>
      <c r="T108"/>
      <c r="U108"/>
    </row>
    <row r="109" spans="1:21" x14ac:dyDescent="0.25">
      <c r="A109" s="33" t="s">
        <v>529</v>
      </c>
      <c r="B109" s="58">
        <v>1.1609246030986058E-2</v>
      </c>
      <c r="C109" s="58">
        <v>1.5514809590973202E-2</v>
      </c>
      <c r="M109">
        <v>85</v>
      </c>
      <c r="N109">
        <v>6.9790290240176098E-4</v>
      </c>
      <c r="O109">
        <v>-5.2850588657045137E-3</v>
      </c>
      <c r="P109"/>
      <c r="Q109"/>
      <c r="R109"/>
      <c r="S109"/>
      <c r="T109"/>
      <c r="U109"/>
    </row>
    <row r="110" spans="1:21" x14ac:dyDescent="0.25">
      <c r="A110" s="33" t="s">
        <v>528</v>
      </c>
      <c r="B110" s="58">
        <v>-4.4715200896575545E-3</v>
      </c>
      <c r="C110" s="58">
        <v>-1.3888888888888888E-2</v>
      </c>
      <c r="M110">
        <v>86</v>
      </c>
      <c r="N110">
        <v>5.4110899240314373E-3</v>
      </c>
      <c r="O110">
        <v>6.8776965583034321E-3</v>
      </c>
      <c r="P110"/>
      <c r="Q110"/>
      <c r="R110"/>
      <c r="S110"/>
      <c r="T110"/>
      <c r="U110"/>
    </row>
    <row r="111" spans="1:21" x14ac:dyDescent="0.25">
      <c r="A111" s="33" t="s">
        <v>527</v>
      </c>
      <c r="B111" s="58">
        <v>3.2707703424800462E-3</v>
      </c>
      <c r="C111" s="58">
        <v>1.4084507042253521E-2</v>
      </c>
      <c r="M111">
        <v>87</v>
      </c>
      <c r="N111">
        <v>-2.923933859945131E-4</v>
      </c>
      <c r="O111">
        <v>-8.8123107111223314E-3</v>
      </c>
      <c r="P111"/>
      <c r="Q111"/>
      <c r="R111"/>
      <c r="S111"/>
      <c r="T111"/>
      <c r="U111"/>
    </row>
    <row r="112" spans="1:21" x14ac:dyDescent="0.25">
      <c r="A112" s="33" t="s">
        <v>526</v>
      </c>
      <c r="B112" s="58">
        <v>-7.1532819045091421E-3</v>
      </c>
      <c r="C112" s="58">
        <v>-1.3888888888888889E-3</v>
      </c>
      <c r="M112">
        <v>88</v>
      </c>
      <c r="N112">
        <v>-4.1304069378656208E-3</v>
      </c>
      <c r="O112">
        <v>-6.5893480391634755E-3</v>
      </c>
      <c r="P112"/>
      <c r="Q112"/>
      <c r="R112"/>
      <c r="S112"/>
      <c r="T112"/>
      <c r="U112"/>
    </row>
    <row r="113" spans="1:21" x14ac:dyDescent="0.25">
      <c r="A113" s="33" t="s">
        <v>525</v>
      </c>
      <c r="B113" s="58">
        <v>-4.0243138812101819E-3</v>
      </c>
      <c r="C113" s="58">
        <v>-5.5632823365785811E-3</v>
      </c>
      <c r="M113">
        <v>89</v>
      </c>
      <c r="N113">
        <v>-1.1754854875911055E-3</v>
      </c>
      <c r="O113">
        <v>-5.0164649768051801E-3</v>
      </c>
      <c r="P113"/>
      <c r="Q113"/>
      <c r="R113"/>
      <c r="S113"/>
      <c r="T113"/>
      <c r="U113"/>
    </row>
    <row r="114" spans="1:21" x14ac:dyDescent="0.25">
      <c r="A114" s="33" t="s">
        <v>524</v>
      </c>
      <c r="B114" s="58">
        <v>6.6128945693759728E-3</v>
      </c>
      <c r="C114" s="58">
        <v>4.1958041958041958E-3</v>
      </c>
      <c r="M114">
        <v>90</v>
      </c>
      <c r="N114">
        <v>-4.9232503028072937E-3</v>
      </c>
      <c r="O114">
        <v>3.3656179040533994E-3</v>
      </c>
      <c r="P114"/>
      <c r="Q114"/>
      <c r="R114"/>
      <c r="S114"/>
      <c r="T114"/>
      <c r="U114"/>
    </row>
    <row r="115" spans="1:21" x14ac:dyDescent="0.25">
      <c r="A115" s="33" t="s">
        <v>523</v>
      </c>
      <c r="B115" s="58">
        <v>-6.2038472231214087E-3</v>
      </c>
      <c r="C115" s="58">
        <v>-8.356545961002786E-3</v>
      </c>
      <c r="M115">
        <v>91</v>
      </c>
      <c r="N115">
        <v>2.3382477246085389E-3</v>
      </c>
      <c r="O115">
        <v>3.9020018853758607E-3</v>
      </c>
      <c r="P115"/>
      <c r="Q115"/>
      <c r="R115"/>
      <c r="S115"/>
      <c r="T115"/>
      <c r="U115"/>
    </row>
    <row r="116" spans="1:21" x14ac:dyDescent="0.25">
      <c r="A116" s="33" t="s">
        <v>522</v>
      </c>
      <c r="B116" s="58">
        <v>-1.7589576547231828E-3</v>
      </c>
      <c r="C116" s="58">
        <v>2.8089887640449437E-3</v>
      </c>
      <c r="M116">
        <v>92</v>
      </c>
      <c r="N116">
        <v>1.2005716974684542E-3</v>
      </c>
      <c r="O116">
        <v>1.2752916674624569E-2</v>
      </c>
      <c r="P116"/>
      <c r="Q116"/>
      <c r="R116"/>
      <c r="S116"/>
      <c r="T116"/>
      <c r="U116"/>
    </row>
    <row r="117" spans="1:21" x14ac:dyDescent="0.25">
      <c r="A117" s="33" t="s">
        <v>521</v>
      </c>
      <c r="B117" s="58">
        <v>-8.5530786092416801E-3</v>
      </c>
      <c r="C117" s="58">
        <v>-1.2605042016806723E-2</v>
      </c>
      <c r="M117">
        <v>93</v>
      </c>
      <c r="N117">
        <v>6.2516751385970157E-3</v>
      </c>
      <c r="O117">
        <v>-1.2367883089667353E-2</v>
      </c>
      <c r="P117"/>
      <c r="Q117"/>
      <c r="R117"/>
      <c r="S117"/>
      <c r="T117"/>
      <c r="U117"/>
    </row>
    <row r="118" spans="1:21" x14ac:dyDescent="0.25">
      <c r="A118" s="33" t="s">
        <v>520</v>
      </c>
      <c r="B118" s="58">
        <v>4.2863282777632523E-3</v>
      </c>
      <c r="C118" s="58">
        <v>1.1347517730496455E-2</v>
      </c>
      <c r="M118">
        <v>94</v>
      </c>
      <c r="N118">
        <v>8.5663953737674745E-3</v>
      </c>
      <c r="O118">
        <v>9.8951430877709887E-3</v>
      </c>
      <c r="P118"/>
      <c r="Q118"/>
      <c r="R118"/>
      <c r="S118"/>
      <c r="T118"/>
      <c r="U118"/>
    </row>
    <row r="119" spans="1:21" x14ac:dyDescent="0.25">
      <c r="A119" s="33" t="s">
        <v>519</v>
      </c>
      <c r="B119" s="58">
        <v>-9.0989705825654122E-3</v>
      </c>
      <c r="C119" s="58">
        <v>4.2075736325385693E-3</v>
      </c>
      <c r="M119">
        <v>95</v>
      </c>
      <c r="N119">
        <v>9.110314357540986E-3</v>
      </c>
      <c r="O119">
        <v>2.4122314041250557E-2</v>
      </c>
      <c r="P119"/>
      <c r="Q119"/>
      <c r="R119"/>
      <c r="S119"/>
      <c r="T119"/>
      <c r="U119"/>
    </row>
    <row r="120" spans="1:21" x14ac:dyDescent="0.25">
      <c r="A120" s="33" t="s">
        <v>518</v>
      </c>
      <c r="B120" s="58">
        <v>4.7079880160304692E-3</v>
      </c>
      <c r="C120" s="58">
        <v>1.11731843575419E-2</v>
      </c>
      <c r="M120">
        <v>96</v>
      </c>
      <c r="N120">
        <v>7.9065037084688899E-3</v>
      </c>
      <c r="O120">
        <v>-6.4445154043753228E-3</v>
      </c>
      <c r="P120"/>
      <c r="Q120"/>
      <c r="R120"/>
      <c r="S120"/>
      <c r="T120"/>
      <c r="U120"/>
    </row>
    <row r="121" spans="1:21" x14ac:dyDescent="0.25">
      <c r="A121" s="33" t="s">
        <v>517</v>
      </c>
      <c r="B121" s="58">
        <v>-3.1368600418245894E-4</v>
      </c>
      <c r="C121" s="58">
        <v>2.7624309392265192E-3</v>
      </c>
      <c r="M121">
        <v>97</v>
      </c>
      <c r="N121">
        <v>4.6595422608705318E-3</v>
      </c>
      <c r="O121">
        <v>-6.1193962754690721E-3</v>
      </c>
      <c r="P121"/>
      <c r="Q121"/>
      <c r="R121"/>
      <c r="S121"/>
      <c r="T121"/>
      <c r="U121"/>
    </row>
    <row r="122" spans="1:21" x14ac:dyDescent="0.25">
      <c r="A122" s="33" t="s">
        <v>516</v>
      </c>
      <c r="B122" s="58">
        <v>-6.6630768694384878E-3</v>
      </c>
      <c r="C122" s="58">
        <v>1.3774104683195593E-3</v>
      </c>
      <c r="M122">
        <v>98</v>
      </c>
      <c r="N122">
        <v>8.3212029525667089E-4</v>
      </c>
      <c r="O122">
        <v>6.2986800883689628E-4</v>
      </c>
      <c r="P122"/>
      <c r="Q122"/>
      <c r="R122"/>
      <c r="S122"/>
      <c r="T122"/>
      <c r="U122"/>
    </row>
    <row r="123" spans="1:21" x14ac:dyDescent="0.25">
      <c r="A123" s="33" t="s">
        <v>515</v>
      </c>
      <c r="B123" s="58">
        <v>-5.5261115595958464E-3</v>
      </c>
      <c r="C123" s="58">
        <v>-4.1265474552957355E-3</v>
      </c>
      <c r="M123">
        <v>99</v>
      </c>
      <c r="N123">
        <v>-3.7337573871003313E-3</v>
      </c>
      <c r="O123">
        <v>8.1133194308959516E-3</v>
      </c>
      <c r="P123"/>
      <c r="Q123"/>
      <c r="R123"/>
      <c r="S123"/>
      <c r="T123"/>
      <c r="U123"/>
    </row>
    <row r="124" spans="1:21" x14ac:dyDescent="0.25">
      <c r="A124" s="33" t="s">
        <v>514</v>
      </c>
      <c r="B124" s="58">
        <v>5.5921130030353559E-3</v>
      </c>
      <c r="C124" s="58">
        <v>-2.7624309392265192E-3</v>
      </c>
      <c r="M124">
        <v>100</v>
      </c>
      <c r="N124">
        <v>2.3614992937856915E-3</v>
      </c>
      <c r="O124">
        <v>1.944082628760966E-2</v>
      </c>
      <c r="P124"/>
      <c r="Q124"/>
      <c r="R124"/>
      <c r="S124"/>
      <c r="T124"/>
      <c r="U124"/>
    </row>
    <row r="125" spans="1:21" x14ac:dyDescent="0.25">
      <c r="A125" s="33" t="s">
        <v>513</v>
      </c>
      <c r="B125" s="58">
        <v>1.489306939959739E-2</v>
      </c>
      <c r="C125" s="58">
        <v>1.1080332409972299E-2</v>
      </c>
      <c r="M125">
        <v>101</v>
      </c>
      <c r="N125">
        <v>1.0533772211806826E-2</v>
      </c>
      <c r="O125">
        <v>1.7915729921905835E-2</v>
      </c>
      <c r="P125"/>
      <c r="Q125"/>
      <c r="R125"/>
      <c r="S125"/>
      <c r="T125"/>
      <c r="U125"/>
    </row>
    <row r="126" spans="1:21" x14ac:dyDescent="0.25">
      <c r="A126" s="33" t="s">
        <v>512</v>
      </c>
      <c r="B126" s="58">
        <v>-3.5197331765591364E-3</v>
      </c>
      <c r="C126" s="58">
        <v>0</v>
      </c>
      <c r="M126">
        <v>102</v>
      </c>
      <c r="N126">
        <v>-2.1401342233709694E-3</v>
      </c>
      <c r="O126">
        <v>-1.0307998556712017E-2</v>
      </c>
      <c r="P126"/>
      <c r="Q126"/>
      <c r="R126"/>
      <c r="S126"/>
      <c r="T126"/>
      <c r="U126"/>
    </row>
    <row r="127" spans="1:21" x14ac:dyDescent="0.25">
      <c r="A127" s="33" t="s">
        <v>511</v>
      </c>
      <c r="B127" s="58">
        <v>-5.5180445068271616E-3</v>
      </c>
      <c r="C127" s="58">
        <v>-1.3698630136986301E-2</v>
      </c>
      <c r="M127">
        <v>103</v>
      </c>
      <c r="N127">
        <v>-1.988254482265805E-3</v>
      </c>
      <c r="O127">
        <v>-5.0145466381823749E-3</v>
      </c>
      <c r="P127"/>
      <c r="Q127"/>
      <c r="R127"/>
      <c r="S127"/>
      <c r="T127"/>
      <c r="U127"/>
    </row>
    <row r="128" spans="1:21" x14ac:dyDescent="0.25">
      <c r="A128" s="33" t="s">
        <v>510</v>
      </c>
      <c r="B128" s="58">
        <v>-8.8057386583947402E-3</v>
      </c>
      <c r="C128" s="58">
        <v>-5.5555555555555558E-3</v>
      </c>
      <c r="M128">
        <v>104</v>
      </c>
      <c r="N128">
        <v>1.2469855720327508E-2</v>
      </c>
      <c r="O128">
        <v>5.8658283417317297E-3</v>
      </c>
      <c r="P128"/>
      <c r="Q128"/>
      <c r="R128"/>
      <c r="S128"/>
      <c r="T128"/>
      <c r="U128"/>
    </row>
    <row r="129" spans="1:21" x14ac:dyDescent="0.25">
      <c r="A129" s="33" t="s">
        <v>509</v>
      </c>
      <c r="B129" s="58">
        <v>-1.1571457072554338E-2</v>
      </c>
      <c r="C129" s="58">
        <v>-2.3743016759776536E-2</v>
      </c>
      <c r="M129">
        <v>105</v>
      </c>
      <c r="N129">
        <v>5.8693159979998017E-3</v>
      </c>
      <c r="O129">
        <v>-1.2794523754232488E-2</v>
      </c>
      <c r="P129"/>
      <c r="Q129"/>
      <c r="R129"/>
      <c r="S129"/>
      <c r="T129"/>
      <c r="U129"/>
    </row>
    <row r="130" spans="1:21" x14ac:dyDescent="0.25">
      <c r="A130" s="33" t="s">
        <v>508</v>
      </c>
      <c r="B130" s="58">
        <v>-2.378587174626379E-3</v>
      </c>
      <c r="C130" s="58">
        <v>-5.7224606580829757E-3</v>
      </c>
      <c r="M130">
        <v>106</v>
      </c>
      <c r="N130">
        <v>9.354519130027472E-4</v>
      </c>
      <c r="O130">
        <v>-1.0698352889292844E-2</v>
      </c>
      <c r="P130"/>
      <c r="Q130"/>
      <c r="R130"/>
      <c r="S130"/>
      <c r="T130"/>
      <c r="U130"/>
    </row>
    <row r="131" spans="1:21" x14ac:dyDescent="0.25">
      <c r="A131" s="33" t="s">
        <v>507</v>
      </c>
      <c r="B131" s="58">
        <v>1.6578728131074687E-2</v>
      </c>
      <c r="C131" s="58">
        <v>2.8776978417266189E-2</v>
      </c>
      <c r="M131">
        <v>107</v>
      </c>
      <c r="N131">
        <v>-8.1338480023674298E-4</v>
      </c>
      <c r="O131">
        <v>-5.9506590398860921E-4</v>
      </c>
      <c r="P131"/>
      <c r="Q131"/>
      <c r="R131"/>
      <c r="S131"/>
      <c r="T131"/>
      <c r="U131"/>
    </row>
    <row r="132" spans="1:21" x14ac:dyDescent="0.25">
      <c r="A132" s="33" t="s">
        <v>506</v>
      </c>
      <c r="B132" s="58">
        <v>4.772701552006064E-3</v>
      </c>
      <c r="C132" s="58">
        <v>5.5944055944055944E-3</v>
      </c>
      <c r="M132">
        <v>108</v>
      </c>
      <c r="N132">
        <v>1.1617886715790332E-2</v>
      </c>
      <c r="O132">
        <v>3.8969228751828695E-3</v>
      </c>
      <c r="P132"/>
      <c r="Q132"/>
      <c r="R132"/>
      <c r="S132"/>
      <c r="T132"/>
      <c r="U132"/>
    </row>
    <row r="133" spans="1:21" x14ac:dyDescent="0.25">
      <c r="A133" s="33" t="s">
        <v>505</v>
      </c>
      <c r="B133" s="58">
        <v>6.4123477504350844E-3</v>
      </c>
      <c r="C133" s="58">
        <v>0</v>
      </c>
      <c r="M133">
        <v>109</v>
      </c>
      <c r="N133">
        <v>-3.2722664028327227E-3</v>
      </c>
      <c r="O133">
        <v>-1.0616622486056165E-2</v>
      </c>
      <c r="P133"/>
      <c r="Q133"/>
      <c r="R133"/>
      <c r="S133"/>
      <c r="T133"/>
      <c r="U133"/>
    </row>
    <row r="134" spans="1:21" x14ac:dyDescent="0.25">
      <c r="A134" s="33" t="s">
        <v>504</v>
      </c>
      <c r="B134" s="58">
        <v>1.430594736862423E-2</v>
      </c>
      <c r="C134" s="58">
        <v>2.0862308762169681E-2</v>
      </c>
      <c r="M134">
        <v>110</v>
      </c>
      <c r="N134">
        <v>3.8967881781790583E-3</v>
      </c>
      <c r="O134">
        <v>1.0187718864074463E-2</v>
      </c>
      <c r="P134"/>
      <c r="Q134"/>
      <c r="R134"/>
      <c r="S134"/>
      <c r="T134"/>
      <c r="U134"/>
    </row>
    <row r="135" spans="1:21" x14ac:dyDescent="0.25">
      <c r="A135" s="33" t="s">
        <v>503</v>
      </c>
      <c r="B135" s="58">
        <v>-3.5384088574364346E-3</v>
      </c>
      <c r="C135" s="58">
        <v>-1.3623978201634877E-3</v>
      </c>
      <c r="M135">
        <v>111</v>
      </c>
      <c r="N135">
        <v>-5.7554717272080497E-3</v>
      </c>
      <c r="O135">
        <v>4.3665828383191605E-3</v>
      </c>
      <c r="P135"/>
      <c r="Q135"/>
      <c r="R135"/>
      <c r="S135"/>
      <c r="T135"/>
      <c r="U135"/>
    </row>
    <row r="136" spans="1:21" x14ac:dyDescent="0.25">
      <c r="A136" s="33" t="s">
        <v>502</v>
      </c>
      <c r="B136" s="58">
        <v>-4.345169912180263E-3</v>
      </c>
      <c r="C136" s="58">
        <v>-1.7735334242837655E-2</v>
      </c>
      <c r="M136">
        <v>112</v>
      </c>
      <c r="N136">
        <v>-2.8581711495703909E-3</v>
      </c>
      <c r="O136">
        <v>-2.7051111870081902E-3</v>
      </c>
      <c r="P136"/>
      <c r="Q136"/>
      <c r="R136"/>
      <c r="S136"/>
      <c r="T136"/>
      <c r="U136"/>
    </row>
    <row r="137" spans="1:21" x14ac:dyDescent="0.25">
      <c r="A137" s="33" t="s">
        <v>501</v>
      </c>
      <c r="B137" s="58">
        <v>2.3776470497997824E-4</v>
      </c>
      <c r="C137" s="58">
        <v>-4.1666666666666666E-3</v>
      </c>
      <c r="M137">
        <v>113</v>
      </c>
      <c r="N137">
        <v>6.9914629658469653E-3</v>
      </c>
      <c r="O137">
        <v>-2.7956587700427695E-3</v>
      </c>
      <c r="P137"/>
      <c r="Q137"/>
      <c r="R137"/>
      <c r="S137"/>
      <c r="T137"/>
      <c r="U137"/>
    </row>
    <row r="138" spans="1:21" x14ac:dyDescent="0.25">
      <c r="A138" s="33" t="s">
        <v>500</v>
      </c>
      <c r="B138" s="58">
        <v>-3.0710364076924532E-3</v>
      </c>
      <c r="C138" s="58">
        <v>-9.7629009762900971E-3</v>
      </c>
      <c r="M138">
        <v>114</v>
      </c>
      <c r="N138">
        <v>-4.8763327809705414E-3</v>
      </c>
      <c r="O138">
        <v>-3.4802131800322446E-3</v>
      </c>
      <c r="P138"/>
      <c r="Q138"/>
      <c r="R138"/>
      <c r="S138"/>
      <c r="T138"/>
      <c r="U138"/>
    </row>
    <row r="139" spans="1:21" x14ac:dyDescent="0.25">
      <c r="A139" s="33" t="s">
        <v>499</v>
      </c>
      <c r="B139" s="58">
        <v>3.6650603985032863E-3</v>
      </c>
      <c r="C139" s="58">
        <v>-9.8591549295774655E-3</v>
      </c>
      <c r="M139">
        <v>115</v>
      </c>
      <c r="N139">
        <v>-7.6054092302820658E-4</v>
      </c>
      <c r="O139">
        <v>3.5695296870731502E-3</v>
      </c>
      <c r="P139"/>
      <c r="Q139"/>
      <c r="R139"/>
      <c r="S139"/>
      <c r="T139"/>
      <c r="U139"/>
    </row>
    <row r="140" spans="1:21" x14ac:dyDescent="0.25">
      <c r="A140" s="33" t="s">
        <v>498</v>
      </c>
      <c r="B140" s="58">
        <v>7.1922322359144059E-3</v>
      </c>
      <c r="C140" s="58">
        <v>1.4224751066856331E-3</v>
      </c>
      <c r="M140">
        <v>116</v>
      </c>
      <c r="N140">
        <v>-7.0516280864286549E-3</v>
      </c>
      <c r="O140">
        <v>-5.5534139303780681E-3</v>
      </c>
      <c r="P140"/>
      <c r="Q140"/>
      <c r="R140"/>
      <c r="S140"/>
      <c r="T140"/>
      <c r="U140"/>
    </row>
    <row r="141" spans="1:21" x14ac:dyDescent="0.25">
      <c r="A141" s="33" t="s">
        <v>497</v>
      </c>
      <c r="B141" s="58">
        <v>3.0168953749813909E-3</v>
      </c>
      <c r="C141" s="58">
        <v>-5.681818181818182E-3</v>
      </c>
      <c r="M141">
        <v>117</v>
      </c>
      <c r="N141">
        <v>4.8371546410546709E-3</v>
      </c>
      <c r="O141">
        <v>6.5103630894417838E-3</v>
      </c>
      <c r="P141"/>
      <c r="Q141"/>
      <c r="R141"/>
      <c r="S141"/>
      <c r="T141"/>
      <c r="U141"/>
    </row>
    <row r="142" spans="1:21" x14ac:dyDescent="0.25">
      <c r="A142" s="33" t="s">
        <v>496</v>
      </c>
      <c r="B142" s="58">
        <v>-1.6726974807127704E-2</v>
      </c>
      <c r="C142" s="58">
        <v>-2.8571428571428571E-3</v>
      </c>
      <c r="M142">
        <v>118</v>
      </c>
      <c r="N142">
        <v>-7.5571024530126478E-3</v>
      </c>
      <c r="O142">
        <v>1.1764676085551217E-2</v>
      </c>
      <c r="P142"/>
      <c r="Q142"/>
      <c r="R142"/>
      <c r="S142"/>
      <c r="T142"/>
      <c r="U142"/>
    </row>
    <row r="143" spans="1:21" x14ac:dyDescent="0.25">
      <c r="A143" s="33" t="s">
        <v>495</v>
      </c>
      <c r="B143" s="58">
        <v>4.4168248237126855E-3</v>
      </c>
      <c r="C143" s="58">
        <v>2.7220630372492838E-2</v>
      </c>
      <c r="M143">
        <v>119</v>
      </c>
      <c r="N143">
        <v>5.2275948737931649E-3</v>
      </c>
      <c r="O143">
        <v>5.9455894837487349E-3</v>
      </c>
      <c r="P143"/>
      <c r="Q143"/>
      <c r="R143"/>
      <c r="S143"/>
      <c r="T143"/>
      <c r="U143"/>
    </row>
    <row r="144" spans="1:21" x14ac:dyDescent="0.25">
      <c r="A144" s="33" t="s">
        <v>494</v>
      </c>
      <c r="B144" s="58">
        <v>1.7320772252968604E-3</v>
      </c>
      <c r="C144" s="58">
        <v>-1.5341701534170154E-2</v>
      </c>
      <c r="M144">
        <v>120</v>
      </c>
      <c r="N144">
        <v>5.7772343658646624E-4</v>
      </c>
      <c r="O144">
        <v>2.184707502640053E-3</v>
      </c>
      <c r="P144"/>
      <c r="Q144"/>
      <c r="R144"/>
      <c r="S144"/>
      <c r="T144"/>
      <c r="U144"/>
    </row>
    <row r="145" spans="1:21" x14ac:dyDescent="0.25">
      <c r="A145" s="33" t="s">
        <v>493</v>
      </c>
      <c r="B145" s="58">
        <v>9.3010060115322358E-3</v>
      </c>
      <c r="C145" s="58">
        <v>-1.1331444759206799E-2</v>
      </c>
      <c r="M145">
        <v>121</v>
      </c>
      <c r="N145">
        <v>-5.3015612619378861E-3</v>
      </c>
      <c r="O145">
        <v>6.6789717302574454E-3</v>
      </c>
      <c r="P145"/>
      <c r="Q145"/>
      <c r="R145"/>
      <c r="S145"/>
      <c r="T145"/>
      <c r="U145"/>
    </row>
    <row r="146" spans="1:21" x14ac:dyDescent="0.25">
      <c r="A146" s="33" t="s">
        <v>492</v>
      </c>
      <c r="B146" s="58">
        <v>1.3101216297320589E-2</v>
      </c>
      <c r="C146" s="58">
        <v>1.8624641833810889E-2</v>
      </c>
      <c r="M146">
        <v>122</v>
      </c>
      <c r="N146">
        <v>-4.2487763742585392E-3</v>
      </c>
      <c r="O146">
        <v>1.2222891896280369E-4</v>
      </c>
      <c r="P146"/>
      <c r="Q146"/>
      <c r="R146"/>
      <c r="S146"/>
      <c r="T146"/>
      <c r="U146"/>
    </row>
    <row r="147" spans="1:21" x14ac:dyDescent="0.25">
      <c r="A147" s="33" t="s">
        <v>491</v>
      </c>
      <c r="B147" s="58">
        <v>-1.8972130465267262E-2</v>
      </c>
      <c r="C147" s="58">
        <v>-1.6877637130801686E-2</v>
      </c>
      <c r="M147">
        <v>123</v>
      </c>
      <c r="N147">
        <v>6.0462596273090554E-3</v>
      </c>
      <c r="O147">
        <v>-8.8086905665355746E-3</v>
      </c>
      <c r="P147"/>
      <c r="Q147"/>
      <c r="R147"/>
      <c r="S147"/>
      <c r="T147"/>
      <c r="U147"/>
    </row>
    <row r="148" spans="1:21" x14ac:dyDescent="0.25">
      <c r="A148" s="33" t="s">
        <v>490</v>
      </c>
      <c r="B148" s="58">
        <v>-4.2347131822646272E-3</v>
      </c>
      <c r="C148" s="58">
        <v>-1.5736766809728183E-2</v>
      </c>
      <c r="M148">
        <v>124</v>
      </c>
      <c r="N148">
        <v>1.4658577215626932E-2</v>
      </c>
      <c r="O148">
        <v>-3.5782448056546328E-3</v>
      </c>
      <c r="P148"/>
      <c r="Q148"/>
      <c r="R148"/>
      <c r="S148"/>
      <c r="T148"/>
      <c r="U148"/>
    </row>
    <row r="149" spans="1:21" x14ac:dyDescent="0.25">
      <c r="A149" s="33" t="s">
        <v>489</v>
      </c>
      <c r="B149" s="58">
        <v>-9.9409301486521814E-4</v>
      </c>
      <c r="C149" s="58">
        <v>-7.2674418604651162E-3</v>
      </c>
      <c r="M149">
        <v>125</v>
      </c>
      <c r="N149">
        <v>-2.3909493831079311E-3</v>
      </c>
      <c r="O149">
        <v>2.3909493831079311E-3</v>
      </c>
      <c r="P149"/>
      <c r="Q149"/>
      <c r="R149"/>
      <c r="S149"/>
      <c r="T149"/>
      <c r="U149"/>
    </row>
    <row r="150" spans="1:21" x14ac:dyDescent="0.25">
      <c r="A150" s="33" t="s">
        <v>488</v>
      </c>
      <c r="B150" s="58">
        <v>-8.4870139849393521E-3</v>
      </c>
      <c r="C150" s="58">
        <v>2.9282576866764276E-3</v>
      </c>
      <c r="M150">
        <v>126</v>
      </c>
      <c r="N150">
        <v>-4.2413066026045923E-3</v>
      </c>
      <c r="O150">
        <v>-9.4573235343817091E-3</v>
      </c>
      <c r="P150"/>
      <c r="Q150"/>
      <c r="R150"/>
      <c r="S150"/>
      <c r="T150"/>
      <c r="U150"/>
    </row>
    <row r="151" spans="1:21" x14ac:dyDescent="0.25">
      <c r="A151" s="33" t="s">
        <v>487</v>
      </c>
      <c r="B151" s="58">
        <v>-2.6078094787868526E-3</v>
      </c>
      <c r="C151" s="58">
        <v>-1.3138686131386862E-2</v>
      </c>
      <c r="M151">
        <v>127</v>
      </c>
      <c r="N151">
        <v>-7.2855812942934379E-3</v>
      </c>
      <c r="O151">
        <v>1.7300257387378821E-3</v>
      </c>
      <c r="P151"/>
      <c r="Q151"/>
      <c r="R151"/>
      <c r="S151"/>
      <c r="T151"/>
      <c r="U151"/>
    </row>
    <row r="152" spans="1:21" x14ac:dyDescent="0.25">
      <c r="A152" s="33" t="s">
        <v>486</v>
      </c>
      <c r="B152" s="58">
        <v>1.2097996099425742E-2</v>
      </c>
      <c r="C152" s="58">
        <v>1.9230769230769232E-2</v>
      </c>
      <c r="M152">
        <v>128</v>
      </c>
      <c r="N152">
        <v>-9.8465271075009672E-3</v>
      </c>
      <c r="O152">
        <v>-1.3896489652275568E-2</v>
      </c>
      <c r="P152"/>
      <c r="Q152"/>
      <c r="R152"/>
      <c r="S152"/>
      <c r="T152"/>
      <c r="U152"/>
    </row>
    <row r="153" spans="1:21" x14ac:dyDescent="0.25">
      <c r="A153" s="33" t="s">
        <v>485</v>
      </c>
      <c r="B153" s="58">
        <v>-1.3665397371330095E-3</v>
      </c>
      <c r="C153" s="58">
        <v>-1.3062409288824383E-2</v>
      </c>
      <c r="M153">
        <v>129</v>
      </c>
      <c r="N153">
        <v>-1.3342933399813489E-3</v>
      </c>
      <c r="O153">
        <v>-4.3881673181016267E-3</v>
      </c>
      <c r="P153"/>
      <c r="Q153"/>
      <c r="R153"/>
      <c r="S153"/>
      <c r="T153"/>
      <c r="U153"/>
    </row>
    <row r="154" spans="1:21" x14ac:dyDescent="0.25">
      <c r="A154" s="33" t="s">
        <v>484</v>
      </c>
      <c r="B154" s="58">
        <v>-3.9591629637601008E-3</v>
      </c>
      <c r="C154" s="58">
        <v>-7.3529411764705881E-3</v>
      </c>
      <c r="M154">
        <v>130</v>
      </c>
      <c r="N154">
        <v>1.6219430500174065E-2</v>
      </c>
      <c r="O154">
        <v>1.2557547917092123E-2</v>
      </c>
      <c r="P154"/>
      <c r="Q154"/>
      <c r="R154"/>
      <c r="S154"/>
      <c r="T154"/>
      <c r="U154"/>
    </row>
    <row r="155" spans="1:21" x14ac:dyDescent="0.25">
      <c r="A155" s="33" t="s">
        <v>483</v>
      </c>
      <c r="B155" s="58">
        <v>-7.8687588277518757E-3</v>
      </c>
      <c r="C155" s="58">
        <v>-2.9629629629629628E-3</v>
      </c>
      <c r="M155">
        <v>131</v>
      </c>
      <c r="N155">
        <v>5.2875170474194029E-3</v>
      </c>
      <c r="O155">
        <v>3.0688854698619154E-4</v>
      </c>
      <c r="P155"/>
      <c r="Q155"/>
      <c r="R155"/>
      <c r="S155"/>
      <c r="T155"/>
      <c r="U155"/>
    </row>
    <row r="156" spans="1:21" x14ac:dyDescent="0.25">
      <c r="A156" s="33" t="s">
        <v>482</v>
      </c>
      <c r="B156" s="58">
        <v>-1.7593266092801277E-2</v>
      </c>
      <c r="C156" s="58">
        <v>-4.4576523031203564E-3</v>
      </c>
      <c r="M156">
        <v>132</v>
      </c>
      <c r="N156">
        <v>6.8057645470602441E-3</v>
      </c>
      <c r="O156">
        <v>-6.8057645470602441E-3</v>
      </c>
      <c r="P156"/>
      <c r="Q156"/>
      <c r="R156"/>
      <c r="S156"/>
      <c r="T156"/>
      <c r="U156"/>
    </row>
    <row r="157" spans="1:21" x14ac:dyDescent="0.25">
      <c r="A157" s="33" t="s">
        <v>481</v>
      </c>
      <c r="B157" s="58">
        <v>-2.2924882406043473E-3</v>
      </c>
      <c r="C157" s="58">
        <v>-4.4776119402985077E-3</v>
      </c>
      <c r="M157">
        <v>133</v>
      </c>
      <c r="N157">
        <v>1.4114925447115458E-2</v>
      </c>
      <c r="O157">
        <v>6.7473833150542232E-3</v>
      </c>
      <c r="P157"/>
      <c r="Q157"/>
      <c r="R157"/>
      <c r="S157"/>
      <c r="T157"/>
      <c r="U157"/>
    </row>
    <row r="158" spans="1:21" x14ac:dyDescent="0.25">
      <c r="A158" s="33" t="s">
        <v>480</v>
      </c>
      <c r="B158" s="58">
        <v>-6.0916324384387597E-3</v>
      </c>
      <c r="C158" s="58">
        <v>-5.9970014992503746E-3</v>
      </c>
      <c r="M158">
        <v>134</v>
      </c>
      <c r="N158">
        <v>-2.4082423246115404E-3</v>
      </c>
      <c r="O158">
        <v>1.0458445044480528E-3</v>
      </c>
      <c r="P158"/>
      <c r="Q158"/>
      <c r="R158"/>
      <c r="S158"/>
      <c r="T158"/>
      <c r="U158"/>
    </row>
    <row r="159" spans="1:21" x14ac:dyDescent="0.25">
      <c r="A159" s="33" t="s">
        <v>479</v>
      </c>
      <c r="B159" s="58">
        <v>1.7169095627870561E-3</v>
      </c>
      <c r="C159" s="58">
        <v>4.5248868778280547E-3</v>
      </c>
      <c r="M159">
        <v>135</v>
      </c>
      <c r="N159">
        <v>-3.1552711381116678E-3</v>
      </c>
      <c r="O159">
        <v>-1.4580063104725987E-2</v>
      </c>
      <c r="P159"/>
      <c r="Q159"/>
      <c r="R159"/>
      <c r="S159"/>
      <c r="T159"/>
      <c r="U159"/>
    </row>
    <row r="160" spans="1:21" x14ac:dyDescent="0.25">
      <c r="A160" s="33" t="s">
        <v>478</v>
      </c>
      <c r="B160" s="58">
        <v>2.766262755101881E-3</v>
      </c>
      <c r="C160" s="58">
        <v>0</v>
      </c>
      <c r="M160">
        <v>136</v>
      </c>
      <c r="N160">
        <v>1.0883449726002813E-3</v>
      </c>
      <c r="O160">
        <v>-5.2550116392669479E-3</v>
      </c>
      <c r="P160"/>
      <c r="Q160"/>
      <c r="R160"/>
      <c r="S160"/>
      <c r="T160"/>
      <c r="U160"/>
    </row>
    <row r="161" spans="1:21" x14ac:dyDescent="0.25">
      <c r="A161" s="33" t="s">
        <v>477</v>
      </c>
      <c r="B161" s="58">
        <v>-4.0703729320199153E-3</v>
      </c>
      <c r="C161" s="58">
        <v>7.5075075075075074E-3</v>
      </c>
      <c r="M161">
        <v>137</v>
      </c>
      <c r="N161">
        <v>-1.9754739298781616E-3</v>
      </c>
      <c r="O161">
        <v>-7.7874270464119355E-3</v>
      </c>
      <c r="P161"/>
      <c r="Q161"/>
      <c r="R161"/>
      <c r="S161"/>
      <c r="T161"/>
      <c r="U161"/>
    </row>
    <row r="162" spans="1:21" x14ac:dyDescent="0.25">
      <c r="A162" s="33" t="s">
        <v>476</v>
      </c>
      <c r="B162" s="58">
        <v>1.2843743763719752E-2</v>
      </c>
      <c r="C162" s="58">
        <v>1.6393442622950821E-2</v>
      </c>
      <c r="M162">
        <v>138</v>
      </c>
      <c r="N162">
        <v>4.2618851681663445E-3</v>
      </c>
      <c r="O162">
        <v>-1.4121040097743811E-2</v>
      </c>
      <c r="P162"/>
      <c r="Q162"/>
      <c r="R162"/>
      <c r="S162"/>
      <c r="T162"/>
      <c r="U162"/>
    </row>
    <row r="163" spans="1:21" x14ac:dyDescent="0.25">
      <c r="A163" s="33" t="s">
        <v>475</v>
      </c>
      <c r="B163" s="58">
        <v>-7.3058856908672348E-3</v>
      </c>
      <c r="C163" s="58">
        <v>-1.6129032258064516E-2</v>
      </c>
      <c r="M163">
        <v>139</v>
      </c>
      <c r="N163">
        <v>7.5279067209158808E-3</v>
      </c>
      <c r="O163">
        <v>-6.105431614230248E-3</v>
      </c>
      <c r="P163"/>
      <c r="Q163"/>
      <c r="R163"/>
      <c r="S163"/>
      <c r="T163"/>
      <c r="U163"/>
    </row>
    <row r="164" spans="1:21" x14ac:dyDescent="0.25">
      <c r="A164" s="33" t="s">
        <v>474</v>
      </c>
      <c r="B164" s="58">
        <v>9.6342402565954988E-3</v>
      </c>
      <c r="C164" s="58">
        <v>-4.4709388971684054E-3</v>
      </c>
      <c r="M164">
        <v>140</v>
      </c>
      <c r="N164">
        <v>3.661710004000058E-3</v>
      </c>
      <c r="O164">
        <v>-9.3435281858182395E-3</v>
      </c>
      <c r="P164"/>
      <c r="Q164"/>
      <c r="R164"/>
      <c r="S164"/>
      <c r="T164"/>
      <c r="U164"/>
    </row>
    <row r="165" spans="1:21" x14ac:dyDescent="0.25">
      <c r="A165" s="33" t="s">
        <v>473</v>
      </c>
      <c r="B165" s="58">
        <v>3.4402632686039609E-3</v>
      </c>
      <c r="C165" s="58">
        <v>0</v>
      </c>
      <c r="M165">
        <v>141</v>
      </c>
      <c r="N165">
        <v>-1.4620332528066439E-2</v>
      </c>
      <c r="O165">
        <v>1.1763189670923583E-2</v>
      </c>
      <c r="P165"/>
      <c r="Q165"/>
      <c r="R165"/>
      <c r="S165"/>
      <c r="T165"/>
      <c r="U165"/>
    </row>
    <row r="166" spans="1:21" x14ac:dyDescent="0.25">
      <c r="A166" s="33" t="s">
        <v>472</v>
      </c>
      <c r="B166" s="58">
        <v>3.549934173406035E-3</v>
      </c>
      <c r="C166" s="58">
        <v>4.4910179640718561E-3</v>
      </c>
      <c r="M166">
        <v>142</v>
      </c>
      <c r="N166">
        <v>4.9579892789108878E-3</v>
      </c>
      <c r="O166">
        <v>2.2262641093581951E-2</v>
      </c>
      <c r="P166"/>
      <c r="Q166"/>
      <c r="R166"/>
      <c r="S166"/>
      <c r="T166"/>
      <c r="U166"/>
    </row>
    <row r="167" spans="1:21" x14ac:dyDescent="0.25">
      <c r="A167" s="33" t="s">
        <v>471</v>
      </c>
      <c r="B167" s="58">
        <v>-1.9326727106612545E-3</v>
      </c>
      <c r="C167" s="58">
        <v>-2.9806259314456036E-3</v>
      </c>
      <c r="M167">
        <v>143</v>
      </c>
      <c r="N167">
        <v>2.4720192371012659E-3</v>
      </c>
      <c r="O167">
        <v>-1.781372077127142E-2</v>
      </c>
      <c r="P167"/>
      <c r="Q167"/>
      <c r="R167"/>
      <c r="S167"/>
      <c r="T167"/>
      <c r="U167"/>
    </row>
    <row r="168" spans="1:21" x14ac:dyDescent="0.25">
      <c r="A168" s="33" t="s">
        <v>470</v>
      </c>
      <c r="B168" s="58">
        <v>2.910490675867594E-3</v>
      </c>
      <c r="C168" s="58">
        <v>6.1285500747384154E-2</v>
      </c>
      <c r="M168">
        <v>144</v>
      </c>
      <c r="N168">
        <v>9.4805477938543631E-3</v>
      </c>
      <c r="O168">
        <v>-2.0811992553061161E-2</v>
      </c>
      <c r="P168"/>
      <c r="Q168"/>
      <c r="R168"/>
      <c r="S168"/>
      <c r="T168"/>
      <c r="U168"/>
    </row>
    <row r="169" spans="1:21" x14ac:dyDescent="0.25">
      <c r="A169" s="33" t="s">
        <v>469</v>
      </c>
      <c r="B169" s="58">
        <v>8.1288445260970024E-3</v>
      </c>
      <c r="C169" s="58">
        <v>2.8169014084507044E-3</v>
      </c>
      <c r="M169">
        <v>145</v>
      </c>
      <c r="N169">
        <v>1.2999392145785656E-2</v>
      </c>
      <c r="O169">
        <v>5.6252496880252328E-3</v>
      </c>
      <c r="P169"/>
      <c r="Q169"/>
      <c r="R169"/>
      <c r="S169"/>
      <c r="T169"/>
      <c r="U169"/>
    </row>
    <row r="170" spans="1:21" x14ac:dyDescent="0.25">
      <c r="A170" s="33" t="s">
        <v>468</v>
      </c>
      <c r="B170" s="58">
        <v>-9.1698748331444366E-4</v>
      </c>
      <c r="C170" s="58">
        <v>-7.0224719101123594E-3</v>
      </c>
      <c r="M170">
        <v>146</v>
      </c>
      <c r="N170">
        <v>-1.6699257827646811E-2</v>
      </c>
      <c r="O170">
        <v>-1.7837930315487555E-4</v>
      </c>
      <c r="P170"/>
      <c r="Q170"/>
      <c r="R170"/>
      <c r="S170"/>
      <c r="T170"/>
      <c r="U170"/>
    </row>
    <row r="171" spans="1:21" x14ac:dyDescent="0.25">
      <c r="A171" s="33" t="s">
        <v>467</v>
      </c>
      <c r="B171" s="58">
        <v>-7.2961606084779879E-3</v>
      </c>
      <c r="C171" s="58">
        <v>-9.9009900990099011E-3</v>
      </c>
      <c r="M171">
        <v>147</v>
      </c>
      <c r="N171">
        <v>-3.0529925769357288E-3</v>
      </c>
      <c r="O171">
        <v>-1.2683774232792454E-2</v>
      </c>
      <c r="P171"/>
      <c r="Q171"/>
      <c r="R171"/>
      <c r="S171"/>
      <c r="T171"/>
      <c r="U171"/>
    </row>
    <row r="172" spans="1:21" x14ac:dyDescent="0.25">
      <c r="A172" s="33" t="s">
        <v>466</v>
      </c>
      <c r="B172" s="58">
        <v>-5.8829495892078016E-3</v>
      </c>
      <c r="C172" s="58">
        <v>5.7142857142857143E-3</v>
      </c>
      <c r="M172">
        <v>148</v>
      </c>
      <c r="N172">
        <v>-5.230653188902719E-5</v>
      </c>
      <c r="O172">
        <v>-7.2151353285760892E-3</v>
      </c>
      <c r="P172"/>
      <c r="Q172"/>
      <c r="R172"/>
      <c r="S172"/>
      <c r="T172"/>
      <c r="U172"/>
    </row>
    <row r="173" spans="1:21" x14ac:dyDescent="0.25">
      <c r="A173" s="33" t="s">
        <v>465</v>
      </c>
      <c r="B173" s="58">
        <v>-2.276062882124987E-4</v>
      </c>
      <c r="C173" s="58">
        <v>-1.4204545454545455E-3</v>
      </c>
      <c r="M173">
        <v>149</v>
      </c>
      <c r="N173">
        <v>-6.9904548584738546E-3</v>
      </c>
      <c r="O173">
        <v>9.9187125451502822E-3</v>
      </c>
      <c r="P173"/>
      <c r="Q173"/>
      <c r="R173"/>
      <c r="S173"/>
      <c r="T173"/>
      <c r="U173"/>
    </row>
    <row r="174" spans="1:21" x14ac:dyDescent="0.25">
      <c r="A174" s="33" t="s">
        <v>464</v>
      </c>
      <c r="B174" s="58">
        <v>3.611128556176707E-3</v>
      </c>
      <c r="C174" s="58">
        <v>7.1123755334281651E-3</v>
      </c>
      <c r="M174">
        <v>150</v>
      </c>
      <c r="N174">
        <v>-1.5465441234046224E-3</v>
      </c>
      <c r="O174">
        <v>-1.159214200798224E-2</v>
      </c>
      <c r="P174"/>
      <c r="Q174"/>
      <c r="R174"/>
      <c r="S174"/>
      <c r="T174"/>
      <c r="U174"/>
    </row>
    <row r="175" spans="1:21" x14ac:dyDescent="0.25">
      <c r="A175" s="33" t="s">
        <v>463</v>
      </c>
      <c r="B175" s="58">
        <v>-7.9393635993868228E-3</v>
      </c>
      <c r="C175" s="58">
        <v>-4.2372881355932203E-3</v>
      </c>
      <c r="M175">
        <v>151</v>
      </c>
      <c r="N175">
        <v>1.2070449939532629E-2</v>
      </c>
      <c r="O175">
        <v>7.1603192912366026E-3</v>
      </c>
      <c r="P175"/>
      <c r="Q175"/>
      <c r="R175"/>
      <c r="S175"/>
      <c r="T175"/>
      <c r="U175"/>
    </row>
    <row r="176" spans="1:21" x14ac:dyDescent="0.25">
      <c r="A176" s="33" t="s">
        <v>462</v>
      </c>
      <c r="B176" s="58">
        <v>-7.4115541398264955E-4</v>
      </c>
      <c r="C176" s="58">
        <v>5.6737588652482273E-3</v>
      </c>
      <c r="M176">
        <v>152</v>
      </c>
      <c r="N176">
        <v>-3.9717745915021695E-4</v>
      </c>
      <c r="O176">
        <v>-1.2665231829674167E-2</v>
      </c>
      <c r="P176"/>
      <c r="Q176"/>
      <c r="R176"/>
      <c r="S176"/>
      <c r="T176"/>
      <c r="U176"/>
    </row>
    <row r="177" spans="1:21" x14ac:dyDescent="0.25">
      <c r="A177" s="33" t="s">
        <v>461</v>
      </c>
      <c r="B177" s="58">
        <v>-1.0210357977611176E-2</v>
      </c>
      <c r="C177" s="58">
        <v>-2.5000000000000001E-2</v>
      </c>
      <c r="M177">
        <v>153</v>
      </c>
      <c r="N177">
        <v>-2.7978439780057783E-3</v>
      </c>
      <c r="O177">
        <v>-4.5550971984648098E-3</v>
      </c>
      <c r="P177"/>
      <c r="Q177"/>
      <c r="R177"/>
      <c r="S177"/>
      <c r="T177"/>
      <c r="U177"/>
    </row>
    <row r="178" spans="1:21" x14ac:dyDescent="0.25">
      <c r="A178" s="33" t="s">
        <v>460</v>
      </c>
      <c r="B178" s="58">
        <v>-6.0239560029827569E-3</v>
      </c>
      <c r="C178" s="58">
        <v>-5.6980056980056983E-3</v>
      </c>
      <c r="M178">
        <v>154</v>
      </c>
      <c r="N178">
        <v>-6.4179750470125183E-3</v>
      </c>
      <c r="O178">
        <v>3.4550120840495554E-3</v>
      </c>
      <c r="P178"/>
      <c r="Q178"/>
      <c r="R178"/>
      <c r="S178"/>
      <c r="T178"/>
      <c r="U178"/>
    </row>
    <row r="179" spans="1:21" x14ac:dyDescent="0.25">
      <c r="A179" s="33" t="s">
        <v>459</v>
      </c>
      <c r="B179" s="58">
        <v>2.0709515827139834E-4</v>
      </c>
      <c r="C179" s="58">
        <v>-2.8653295128939827E-3</v>
      </c>
      <c r="M179">
        <v>155</v>
      </c>
      <c r="N179">
        <v>-1.5422483979821528E-2</v>
      </c>
      <c r="O179">
        <v>1.0964831676701172E-2</v>
      </c>
      <c r="P179"/>
      <c r="Q179"/>
      <c r="R179"/>
      <c r="S179"/>
      <c r="T179"/>
      <c r="U179"/>
    </row>
    <row r="180" spans="1:21" x14ac:dyDescent="0.25">
      <c r="A180" s="33" t="s">
        <v>458</v>
      </c>
      <c r="B180" s="58">
        <v>-1.7490057583973366E-2</v>
      </c>
      <c r="C180" s="58">
        <v>-1.0057471264367816E-2</v>
      </c>
      <c r="M180">
        <v>156</v>
      </c>
      <c r="N180">
        <v>-1.2545691339752385E-3</v>
      </c>
      <c r="O180">
        <v>-3.2230428063232692E-3</v>
      </c>
      <c r="P180"/>
      <c r="Q180"/>
      <c r="R180"/>
      <c r="S180"/>
      <c r="T180"/>
      <c r="U180"/>
    </row>
    <row r="181" spans="1:21" x14ac:dyDescent="0.25">
      <c r="A181" s="33" t="s">
        <v>457</v>
      </c>
      <c r="B181" s="58">
        <v>-2.7197143504692667E-3</v>
      </c>
      <c r="C181" s="58">
        <v>-1.4513788098693759E-3</v>
      </c>
      <c r="M181">
        <v>157</v>
      </c>
      <c r="N181">
        <v>-4.7724263306458299E-3</v>
      </c>
      <c r="O181">
        <v>-1.2245751686045447E-3</v>
      </c>
      <c r="P181"/>
      <c r="Q181"/>
      <c r="R181"/>
      <c r="S181"/>
      <c r="T181"/>
      <c r="U181"/>
    </row>
    <row r="182" spans="1:21" x14ac:dyDescent="0.25">
      <c r="A182" s="33" t="s">
        <v>456</v>
      </c>
      <c r="B182" s="58">
        <v>-4.9319612619760098E-3</v>
      </c>
      <c r="C182" s="58">
        <v>8.7209302325581394E-3</v>
      </c>
      <c r="M182">
        <v>158</v>
      </c>
      <c r="N182">
        <v>2.4579745817951575E-3</v>
      </c>
      <c r="O182">
        <v>2.0669122960328972E-3</v>
      </c>
      <c r="P182"/>
      <c r="Q182"/>
      <c r="R182"/>
      <c r="S182"/>
      <c r="T182"/>
      <c r="U182"/>
    </row>
    <row r="183" spans="1:21" x14ac:dyDescent="0.25">
      <c r="A183" s="33" t="s">
        <v>455</v>
      </c>
      <c r="B183" s="58">
        <v>-1.3138282527166241E-2</v>
      </c>
      <c r="C183" s="58">
        <v>-1.1527377521613832E-2</v>
      </c>
      <c r="M183">
        <v>159</v>
      </c>
      <c r="N183">
        <v>3.4296341154180666E-3</v>
      </c>
      <c r="O183">
        <v>-3.4296341154180666E-3</v>
      </c>
      <c r="P183"/>
      <c r="Q183"/>
      <c r="R183"/>
      <c r="S183"/>
      <c r="T183"/>
      <c r="U183"/>
    </row>
    <row r="184" spans="1:21" x14ac:dyDescent="0.25">
      <c r="A184" s="33" t="s">
        <v>454</v>
      </c>
      <c r="B184" s="58">
        <v>8.5262914286425085E-4</v>
      </c>
      <c r="C184" s="58">
        <v>-2.9154518950437317E-3</v>
      </c>
      <c r="M184">
        <v>160</v>
      </c>
      <c r="N184">
        <v>-2.9008200080831046E-3</v>
      </c>
      <c r="O184">
        <v>1.0408327515590612E-2</v>
      </c>
      <c r="P184"/>
      <c r="Q184"/>
      <c r="R184"/>
      <c r="S184"/>
      <c r="T184"/>
      <c r="U184"/>
    </row>
    <row r="185" spans="1:21" x14ac:dyDescent="0.25">
      <c r="A185" s="33" t="s">
        <v>453</v>
      </c>
      <c r="B185" s="58">
        <v>-2.4088565436275685E-2</v>
      </c>
      <c r="C185" s="58">
        <v>-1.3157894736842105E-2</v>
      </c>
      <c r="M185">
        <v>161</v>
      </c>
      <c r="N185">
        <v>1.2760982767750199E-2</v>
      </c>
      <c r="O185">
        <v>3.6324598552006215E-3</v>
      </c>
      <c r="P185"/>
      <c r="Q185"/>
      <c r="R185"/>
      <c r="S185"/>
      <c r="T185"/>
      <c r="U185"/>
    </row>
    <row r="186" spans="1:21" x14ac:dyDescent="0.25">
      <c r="A186" s="33" t="s">
        <v>452</v>
      </c>
      <c r="B186" s="58">
        <v>-8.687736158857315E-4</v>
      </c>
      <c r="C186" s="58">
        <v>-1.1851851851851851E-2</v>
      </c>
      <c r="M186">
        <v>162</v>
      </c>
      <c r="N186">
        <v>-5.8967767949085611E-3</v>
      </c>
      <c r="O186">
        <v>-1.0232255463155954E-2</v>
      </c>
      <c r="P186"/>
      <c r="Q186"/>
      <c r="R186"/>
      <c r="S186"/>
      <c r="T186"/>
      <c r="U186"/>
    </row>
    <row r="187" spans="1:21" x14ac:dyDescent="0.25">
      <c r="A187" s="33" t="s">
        <v>451</v>
      </c>
      <c r="B187" s="58">
        <v>2.1342985521717881E-3</v>
      </c>
      <c r="C187" s="58">
        <v>-1.0494752623688156E-2</v>
      </c>
      <c r="M187">
        <v>163</v>
      </c>
      <c r="N187">
        <v>9.789109518845247E-3</v>
      </c>
      <c r="O187">
        <v>-1.4260048416013651E-2</v>
      </c>
      <c r="P187"/>
      <c r="Q187"/>
      <c r="R187"/>
      <c r="S187"/>
      <c r="T187"/>
      <c r="U187"/>
    </row>
    <row r="188" spans="1:21" x14ac:dyDescent="0.25">
      <c r="A188" s="33" t="s">
        <v>450</v>
      </c>
      <c r="B188" s="58">
        <v>-2.5532126888443665E-3</v>
      </c>
      <c r="C188" s="58">
        <v>6.0606060606060606E-3</v>
      </c>
      <c r="M188">
        <v>164</v>
      </c>
      <c r="N188">
        <v>4.0537319210066265E-3</v>
      </c>
      <c r="O188">
        <v>-4.0537319210066265E-3</v>
      </c>
      <c r="P188"/>
      <c r="Q188"/>
      <c r="R188"/>
      <c r="S188"/>
      <c r="T188"/>
      <c r="U188"/>
    </row>
    <row r="189" spans="1:21" x14ac:dyDescent="0.25">
      <c r="A189" s="33" t="s">
        <v>449</v>
      </c>
      <c r="B189" s="58">
        <v>1.977041347218407E-2</v>
      </c>
      <c r="C189" s="58">
        <v>2.710843373493976E-2</v>
      </c>
      <c r="M189">
        <v>165</v>
      </c>
      <c r="N189">
        <v>4.1552828392221733E-3</v>
      </c>
      <c r="O189">
        <v>3.3573512484968288E-4</v>
      </c>
      <c r="P189"/>
      <c r="Q189"/>
      <c r="R189"/>
      <c r="S189"/>
      <c r="T189"/>
      <c r="U189"/>
    </row>
    <row r="190" spans="1:21" x14ac:dyDescent="0.25">
      <c r="A190" s="33" t="s">
        <v>448</v>
      </c>
      <c r="B190" s="58">
        <v>1.2138379154966464E-2</v>
      </c>
      <c r="C190" s="58">
        <v>1.0263929618768328E-2</v>
      </c>
      <c r="M190">
        <v>166</v>
      </c>
      <c r="N190">
        <v>-9.2139419099579814E-4</v>
      </c>
      <c r="O190">
        <v>-2.0592317404498055E-3</v>
      </c>
      <c r="P190"/>
      <c r="Q190"/>
      <c r="R190"/>
      <c r="S190"/>
      <c r="T190"/>
      <c r="U190"/>
    </row>
    <row r="191" spans="1:21" x14ac:dyDescent="0.25">
      <c r="A191" s="33" t="s">
        <v>447</v>
      </c>
      <c r="B191" s="58">
        <v>-9.5450476244243829E-3</v>
      </c>
      <c r="C191" s="58">
        <v>-1.3062409288824383E-2</v>
      </c>
      <c r="M191">
        <v>167</v>
      </c>
      <c r="N191">
        <v>3.5631834630094825E-3</v>
      </c>
      <c r="O191">
        <v>5.7722317284374672E-2</v>
      </c>
      <c r="P191"/>
      <c r="Q191"/>
      <c r="R191"/>
      <c r="S191"/>
      <c r="T191"/>
      <c r="U191"/>
    </row>
    <row r="192" spans="1:21" x14ac:dyDescent="0.25">
      <c r="A192" s="33" t="s">
        <v>446</v>
      </c>
      <c r="B192" s="58">
        <v>-8.1061824399976824E-3</v>
      </c>
      <c r="C192" s="58">
        <v>-1.0294117647058823E-2</v>
      </c>
      <c r="M192">
        <v>168</v>
      </c>
      <c r="N192">
        <v>8.395172640274012E-3</v>
      </c>
      <c r="O192">
        <v>-5.578271231823308E-3</v>
      </c>
      <c r="P192"/>
      <c r="Q192"/>
      <c r="R192"/>
      <c r="S192"/>
      <c r="T192"/>
      <c r="U192"/>
    </row>
    <row r="193" spans="1:21" x14ac:dyDescent="0.25">
      <c r="A193" s="33" t="s">
        <v>445</v>
      </c>
      <c r="B193" s="58">
        <v>9.8225133812761857E-3</v>
      </c>
      <c r="C193" s="58">
        <v>3.1203566121842496E-2</v>
      </c>
      <c r="M193">
        <v>169</v>
      </c>
      <c r="N193">
        <v>1.9090139293819462E-5</v>
      </c>
      <c r="O193">
        <v>-7.0415620494061791E-3</v>
      </c>
      <c r="P193"/>
      <c r="Q193"/>
      <c r="R193"/>
      <c r="S193"/>
      <c r="T193"/>
      <c r="U193"/>
    </row>
    <row r="194" spans="1:21" x14ac:dyDescent="0.25">
      <c r="A194" s="33" t="s">
        <v>444</v>
      </c>
      <c r="B194" s="58">
        <v>9.8773661982701861E-4</v>
      </c>
      <c r="C194" s="58">
        <v>1.5850144092219021E-2</v>
      </c>
      <c r="M194">
        <v>170</v>
      </c>
      <c r="N194">
        <v>-5.8877717534335031E-3</v>
      </c>
      <c r="O194">
        <v>-4.013218345576398E-3</v>
      </c>
      <c r="P194"/>
      <c r="Q194"/>
      <c r="R194"/>
      <c r="S194"/>
      <c r="T194"/>
      <c r="U194"/>
    </row>
    <row r="195" spans="1:21" x14ac:dyDescent="0.25">
      <c r="A195" s="33" t="s">
        <v>443</v>
      </c>
      <c r="B195" s="58">
        <v>-1.9004304393730093E-2</v>
      </c>
      <c r="C195" s="58">
        <v>-1.4184397163120567E-2</v>
      </c>
      <c r="M195">
        <v>171</v>
      </c>
      <c r="N195">
        <v>-4.5791942697497711E-3</v>
      </c>
      <c r="O195">
        <v>1.0293479984035486E-2</v>
      </c>
      <c r="P195"/>
      <c r="Q195"/>
      <c r="R195"/>
      <c r="S195"/>
      <c r="T195"/>
      <c r="U195"/>
    </row>
    <row r="196" spans="1:21" x14ac:dyDescent="0.25">
      <c r="A196" s="33" t="s">
        <v>442</v>
      </c>
      <c r="B196" s="58">
        <v>-1.6888815299279814E-2</v>
      </c>
      <c r="C196" s="58">
        <v>-1.0071942446043165E-2</v>
      </c>
      <c r="M196">
        <v>172</v>
      </c>
      <c r="N196">
        <v>6.5742984743680883E-4</v>
      </c>
      <c r="O196">
        <v>-2.0778843928913543E-3</v>
      </c>
      <c r="P196"/>
      <c r="Q196"/>
      <c r="R196"/>
      <c r="S196"/>
      <c r="T196"/>
      <c r="U196"/>
    </row>
    <row r="197" spans="1:21" x14ac:dyDescent="0.25">
      <c r="A197" s="33" t="s">
        <v>441</v>
      </c>
      <c r="B197" s="58">
        <v>-7.5705263157894815E-3</v>
      </c>
      <c r="C197" s="58">
        <v>-5.8139534883720929E-3</v>
      </c>
      <c r="M197">
        <v>173</v>
      </c>
      <c r="N197">
        <v>4.2119464162320517E-3</v>
      </c>
      <c r="O197">
        <v>2.9004291171961134E-3</v>
      </c>
      <c r="P197"/>
      <c r="Q197"/>
      <c r="R197"/>
      <c r="S197"/>
      <c r="T197"/>
      <c r="U197"/>
    </row>
    <row r="198" spans="1:21" x14ac:dyDescent="0.25">
      <c r="A198" s="33" t="s">
        <v>440</v>
      </c>
      <c r="B198" s="58">
        <v>1.1238767596371791E-2</v>
      </c>
      <c r="C198" s="58">
        <v>1.4619883040935672E-3</v>
      </c>
      <c r="M198">
        <v>174</v>
      </c>
      <c r="N198">
        <v>-6.4833522717456203E-3</v>
      </c>
      <c r="O198">
        <v>2.2460641361524E-3</v>
      </c>
      <c r="P198"/>
      <c r="Q198"/>
      <c r="R198"/>
      <c r="S198"/>
      <c r="T198"/>
      <c r="U198"/>
    </row>
    <row r="199" spans="1:21" x14ac:dyDescent="0.25">
      <c r="A199" s="33" t="s">
        <v>439</v>
      </c>
      <c r="B199" s="58">
        <v>-8.5336331712475063E-3</v>
      </c>
      <c r="C199" s="58">
        <v>-7.2992700729927005E-3</v>
      </c>
      <c r="M199">
        <v>175</v>
      </c>
      <c r="N199">
        <v>1.8190367789467634E-4</v>
      </c>
      <c r="O199">
        <v>5.4918551873535514E-3</v>
      </c>
      <c r="P199"/>
      <c r="Q199"/>
      <c r="R199"/>
      <c r="S199"/>
      <c r="T199"/>
      <c r="U199"/>
    </row>
    <row r="200" spans="1:21" x14ac:dyDescent="0.25">
      <c r="A200" s="33" t="s">
        <v>438</v>
      </c>
      <c r="B200" s="58">
        <v>-2.7120351053881078E-2</v>
      </c>
      <c r="C200" s="58">
        <v>-1.9117647058823531E-2</v>
      </c>
      <c r="M200">
        <v>176</v>
      </c>
      <c r="N200">
        <v>-8.5862032036973235E-3</v>
      </c>
      <c r="O200">
        <v>-1.6413796796302678E-2</v>
      </c>
      <c r="P200"/>
      <c r="Q200"/>
      <c r="R200"/>
      <c r="S200"/>
      <c r="T200"/>
      <c r="U200"/>
    </row>
    <row r="201" spans="1:21" x14ac:dyDescent="0.25">
      <c r="A201" s="33" t="s">
        <v>437</v>
      </c>
      <c r="B201" s="58">
        <v>1.6223880856690582E-3</v>
      </c>
      <c r="C201" s="58">
        <v>8.9955022488755615E-3</v>
      </c>
      <c r="M201">
        <v>177</v>
      </c>
      <c r="N201">
        <v>-4.7097606293414101E-3</v>
      </c>
      <c r="O201">
        <v>-9.8824506866428824E-4</v>
      </c>
      <c r="P201"/>
      <c r="Q201"/>
      <c r="R201"/>
      <c r="S201"/>
      <c r="T201"/>
      <c r="U201"/>
    </row>
    <row r="202" spans="1:21" x14ac:dyDescent="0.25">
      <c r="A202" s="33" t="s">
        <v>436</v>
      </c>
      <c r="B202" s="58">
        <v>3.3611109904856402E-3</v>
      </c>
      <c r="C202" s="58">
        <v>0</v>
      </c>
      <c r="M202">
        <v>178</v>
      </c>
      <c r="N202">
        <v>1.0599461859290876E-3</v>
      </c>
      <c r="O202">
        <v>-3.9252756988230704E-3</v>
      </c>
      <c r="P202"/>
      <c r="Q202"/>
      <c r="R202"/>
      <c r="S202"/>
      <c r="T202"/>
      <c r="U202"/>
    </row>
    <row r="203" spans="1:21" x14ac:dyDescent="0.25">
      <c r="A203" s="33" t="s">
        <v>435</v>
      </c>
      <c r="B203" s="58">
        <v>-1.4091882885027546E-2</v>
      </c>
      <c r="C203" s="58">
        <v>-5.9435364041604752E-3</v>
      </c>
      <c r="M203">
        <v>179</v>
      </c>
      <c r="N203">
        <v>-1.5326916984563789E-2</v>
      </c>
      <c r="O203">
        <v>5.2694457201959734E-3</v>
      </c>
      <c r="P203"/>
      <c r="Q203"/>
      <c r="R203"/>
      <c r="S203"/>
      <c r="T203"/>
      <c r="U203"/>
    </row>
    <row r="204" spans="1:21" x14ac:dyDescent="0.25">
      <c r="A204" s="33" t="s">
        <v>434</v>
      </c>
      <c r="B204" s="58">
        <v>1.0346840855315504E-2</v>
      </c>
      <c r="C204" s="58">
        <v>2.5411061285500747E-2</v>
      </c>
      <c r="M204">
        <v>180</v>
      </c>
      <c r="N204">
        <v>-1.6501636065542422E-3</v>
      </c>
      <c r="O204">
        <v>1.9878479668486632E-4</v>
      </c>
      <c r="P204"/>
      <c r="Q204"/>
      <c r="R204"/>
      <c r="S204"/>
      <c r="T204"/>
      <c r="U204"/>
    </row>
    <row r="205" spans="1:21" x14ac:dyDescent="0.25">
      <c r="A205" s="33" t="s">
        <v>433</v>
      </c>
      <c r="B205" s="58">
        <v>1.8057317645423079E-2</v>
      </c>
      <c r="C205" s="58">
        <v>1.6034985422740525E-2</v>
      </c>
      <c r="M205">
        <v>181</v>
      </c>
      <c r="N205">
        <v>-3.698616708937771E-3</v>
      </c>
      <c r="O205">
        <v>1.2419546941495911E-2</v>
      </c>
      <c r="P205"/>
      <c r="Q205"/>
      <c r="R205"/>
      <c r="S205"/>
      <c r="T205"/>
      <c r="U205"/>
    </row>
    <row r="206" spans="1:21" x14ac:dyDescent="0.25">
      <c r="A206" s="33" t="s">
        <v>432</v>
      </c>
      <c r="B206" s="58">
        <v>1.0763426542388037E-2</v>
      </c>
      <c r="C206" s="58">
        <v>-1.4347202295552368E-3</v>
      </c>
      <c r="M206">
        <v>182</v>
      </c>
      <c r="N206">
        <v>-1.1297345479853095E-2</v>
      </c>
      <c r="O206">
        <v>-2.3003204176073704E-4</v>
      </c>
      <c r="P206"/>
      <c r="Q206"/>
      <c r="R206"/>
      <c r="S206"/>
      <c r="T206"/>
      <c r="U206"/>
    </row>
    <row r="207" spans="1:21" x14ac:dyDescent="0.25">
      <c r="A207" s="33" t="s">
        <v>431</v>
      </c>
      <c r="B207" s="58">
        <v>5.6592381161488528E-2</v>
      </c>
      <c r="C207" s="58">
        <v>1.8678160919540231E-2</v>
      </c>
      <c r="M207">
        <v>183</v>
      </c>
      <c r="N207">
        <v>1.6576851121561744E-3</v>
      </c>
      <c r="O207">
        <v>-4.5731370071999062E-3</v>
      </c>
      <c r="P207"/>
      <c r="Q207"/>
      <c r="R207"/>
      <c r="S207"/>
      <c r="T207"/>
      <c r="U207"/>
    </row>
    <row r="208" spans="1:21" x14ac:dyDescent="0.25">
      <c r="A208" s="33" t="s">
        <v>430</v>
      </c>
      <c r="B208" s="58">
        <v>-2.3341871905433593E-2</v>
      </c>
      <c r="C208" s="58">
        <v>0</v>
      </c>
      <c r="M208">
        <v>184</v>
      </c>
      <c r="N208">
        <v>-2.1436874155639517E-2</v>
      </c>
      <c r="O208">
        <v>8.2789794187974122E-3</v>
      </c>
      <c r="P208"/>
      <c r="Q208"/>
      <c r="R208"/>
      <c r="S208"/>
      <c r="T208"/>
      <c r="U208"/>
    </row>
    <row r="209" spans="1:21" x14ac:dyDescent="0.25">
      <c r="A209" s="33" t="s">
        <v>429</v>
      </c>
      <c r="B209" s="58">
        <v>-9.1409024697622493E-3</v>
      </c>
      <c r="C209" s="58">
        <v>-1.4104372355430184E-2</v>
      </c>
      <c r="M209">
        <v>185</v>
      </c>
      <c r="N209">
        <v>6.3734272730528127E-5</v>
      </c>
      <c r="O209">
        <v>-1.191558612458238E-2</v>
      </c>
      <c r="P209"/>
      <c r="Q209"/>
      <c r="R209"/>
      <c r="S209"/>
      <c r="T209"/>
      <c r="U209"/>
    </row>
    <row r="210" spans="1:21" x14ac:dyDescent="0.25">
      <c r="A210" s="33" t="s">
        <v>428</v>
      </c>
      <c r="B210" s="58">
        <v>2.2546890098364058E-3</v>
      </c>
      <c r="C210" s="58">
        <v>5.7224606580829757E-3</v>
      </c>
      <c r="M210">
        <v>186</v>
      </c>
      <c r="N210">
        <v>2.8444602700601917E-3</v>
      </c>
      <c r="O210">
        <v>-1.3339212893748347E-2</v>
      </c>
      <c r="P210"/>
      <c r="Q210"/>
      <c r="R210"/>
      <c r="S210"/>
      <c r="T210"/>
      <c r="U210"/>
    </row>
    <row r="211" spans="1:21" x14ac:dyDescent="0.25">
      <c r="A211" s="33" t="s">
        <v>427</v>
      </c>
      <c r="B211" s="58">
        <v>-7.1773489130972498E-3</v>
      </c>
      <c r="C211" s="58">
        <v>2.8449502133712661E-3</v>
      </c>
      <c r="M211">
        <v>187</v>
      </c>
      <c r="N211">
        <v>-1.495989656289695E-3</v>
      </c>
      <c r="O211">
        <v>7.5565957168957556E-3</v>
      </c>
      <c r="P211"/>
      <c r="Q211"/>
      <c r="R211"/>
      <c r="S211"/>
      <c r="T211"/>
      <c r="U211"/>
    </row>
    <row r="212" spans="1:21" x14ac:dyDescent="0.25">
      <c r="A212" s="33" t="s">
        <v>426</v>
      </c>
      <c r="B212" s="58">
        <v>-2.4484782085437929E-3</v>
      </c>
      <c r="C212" s="58">
        <v>-1.4184397163120568E-3</v>
      </c>
      <c r="M212">
        <v>188</v>
      </c>
      <c r="N212">
        <v>1.9174804832406522E-2</v>
      </c>
      <c r="O212">
        <v>7.9336289025332372E-3</v>
      </c>
      <c r="P212"/>
      <c r="Q212"/>
      <c r="R212"/>
      <c r="S212"/>
      <c r="T212"/>
      <c r="U212"/>
    </row>
    <row r="213" spans="1:21" x14ac:dyDescent="0.25">
      <c r="A213" s="33" t="s">
        <v>425</v>
      </c>
      <c r="B213" s="58">
        <v>1.2268279695144182E-2</v>
      </c>
      <c r="C213" s="58">
        <v>5.681818181818182E-3</v>
      </c>
      <c r="M213">
        <v>189</v>
      </c>
      <c r="N213">
        <v>1.2107843051022964E-2</v>
      </c>
      <c r="O213">
        <v>-1.8439134322546357E-3</v>
      </c>
      <c r="P213"/>
      <c r="Q213"/>
      <c r="R213"/>
      <c r="S213"/>
      <c r="T213"/>
      <c r="U213"/>
    </row>
    <row r="214" spans="1:21" x14ac:dyDescent="0.25">
      <c r="A214" s="33" t="s">
        <v>424</v>
      </c>
      <c r="B214" s="58">
        <v>2.1954176512894306E-2</v>
      </c>
      <c r="C214" s="58">
        <v>1.977401129943503E-2</v>
      </c>
      <c r="M214">
        <v>190</v>
      </c>
      <c r="N214">
        <v>-7.9701521426947617E-3</v>
      </c>
      <c r="O214">
        <v>-5.0922571461296216E-3</v>
      </c>
      <c r="P214"/>
      <c r="Q214"/>
      <c r="R214"/>
      <c r="S214"/>
      <c r="T214"/>
      <c r="U214"/>
    </row>
    <row r="215" spans="1:21" x14ac:dyDescent="0.25">
      <c r="A215" s="33" t="s">
        <v>423</v>
      </c>
      <c r="B215" s="58">
        <v>6.0723779190635001E-4</v>
      </c>
      <c r="C215" s="58">
        <v>8.3102493074792248E-3</v>
      </c>
      <c r="M215">
        <v>191</v>
      </c>
      <c r="N215">
        <v>-6.6378199172005287E-3</v>
      </c>
      <c r="O215">
        <v>-3.6562977298582947E-3</v>
      </c>
      <c r="P215"/>
      <c r="Q215"/>
      <c r="R215"/>
      <c r="S215"/>
      <c r="T215"/>
      <c r="U215"/>
    </row>
    <row r="216" spans="1:21" x14ac:dyDescent="0.25">
      <c r="A216" s="33" t="s">
        <v>422</v>
      </c>
      <c r="B216" s="58">
        <v>-7.3668303740082822E-3</v>
      </c>
      <c r="C216" s="58">
        <v>-4.120879120879121E-3</v>
      </c>
      <c r="M216">
        <v>192</v>
      </c>
      <c r="N216">
        <v>9.9634429824118961E-3</v>
      </c>
      <c r="O216">
        <v>2.1240123139430599E-2</v>
      </c>
      <c r="P216"/>
      <c r="Q216"/>
      <c r="R216"/>
      <c r="S216"/>
      <c r="T216"/>
      <c r="U216"/>
    </row>
    <row r="217" spans="1:21" x14ac:dyDescent="0.25">
      <c r="A217" s="33" t="s">
        <v>421</v>
      </c>
      <c r="B217" s="58">
        <v>8.6442496507884731E-3</v>
      </c>
      <c r="C217" s="58">
        <v>2.7586206896551722E-3</v>
      </c>
      <c r="M217">
        <v>193</v>
      </c>
      <c r="N217">
        <v>1.7827892896781551E-3</v>
      </c>
      <c r="O217">
        <v>1.4067354802540866E-2</v>
      </c>
      <c r="P217"/>
      <c r="Q217"/>
      <c r="R217"/>
      <c r="S217"/>
      <c r="T217"/>
      <c r="U217"/>
    </row>
    <row r="218" spans="1:21" x14ac:dyDescent="0.25">
      <c r="A218" s="33" t="s">
        <v>420</v>
      </c>
      <c r="B218" s="58">
        <v>7.7151573538857803E-3</v>
      </c>
      <c r="C218" s="58">
        <v>1.375515818431912E-3</v>
      </c>
      <c r="M218">
        <v>194</v>
      </c>
      <c r="N218">
        <v>-1.6729049612294693E-2</v>
      </c>
      <c r="O218">
        <v>2.5446524491741264E-3</v>
      </c>
      <c r="P218"/>
      <c r="Q218"/>
      <c r="R218"/>
      <c r="S218"/>
      <c r="T218"/>
      <c r="U218"/>
    </row>
    <row r="219" spans="1:21" x14ac:dyDescent="0.25">
      <c r="A219" s="33" t="s">
        <v>419</v>
      </c>
      <c r="B219" s="58">
        <v>5.0987484165985987E-4</v>
      </c>
      <c r="C219" s="58">
        <v>0</v>
      </c>
      <c r="M219">
        <v>195</v>
      </c>
      <c r="N219">
        <v>-1.4770190419839681E-2</v>
      </c>
      <c r="O219">
        <v>4.6982479737965165E-3</v>
      </c>
      <c r="P219"/>
      <c r="Q219"/>
      <c r="R219"/>
      <c r="S219"/>
      <c r="T219"/>
      <c r="U219"/>
    </row>
    <row r="220" spans="1:21" x14ac:dyDescent="0.25">
      <c r="A220" s="33" t="s">
        <v>418</v>
      </c>
      <c r="B220" s="58">
        <v>1.297925707688107E-3</v>
      </c>
      <c r="C220" s="58">
        <v>-5.4945054945054949E-3</v>
      </c>
      <c r="M220">
        <v>196</v>
      </c>
      <c r="N220">
        <v>-6.141823541869311E-3</v>
      </c>
      <c r="O220">
        <v>3.2787005349721801E-4</v>
      </c>
      <c r="P220"/>
      <c r="Q220"/>
      <c r="R220"/>
      <c r="S220"/>
      <c r="T220"/>
      <c r="U220"/>
    </row>
    <row r="221" spans="1:21" x14ac:dyDescent="0.25">
      <c r="A221" s="33" t="s">
        <v>417</v>
      </c>
      <c r="B221" s="58">
        <v>-7.2883862964022994E-3</v>
      </c>
      <c r="C221" s="58">
        <v>-9.6685082872928173E-3</v>
      </c>
      <c r="M221">
        <v>197</v>
      </c>
      <c r="N221">
        <v>1.1274838345011999E-2</v>
      </c>
      <c r="O221">
        <v>-9.8128500409184315E-3</v>
      </c>
      <c r="P221"/>
      <c r="Q221"/>
      <c r="R221"/>
      <c r="S221"/>
      <c r="T221"/>
      <c r="U221"/>
    </row>
    <row r="222" spans="1:21" x14ac:dyDescent="0.25">
      <c r="A222" s="33" t="s">
        <v>416</v>
      </c>
      <c r="B222" s="58">
        <v>-3.8852372998812582E-4</v>
      </c>
      <c r="C222" s="58">
        <v>-5.5788005578800556E-3</v>
      </c>
      <c r="M222">
        <v>198</v>
      </c>
      <c r="N222">
        <v>-7.0336223802937806E-3</v>
      </c>
      <c r="O222">
        <v>-2.6564769269891986E-4</v>
      </c>
      <c r="P222"/>
      <c r="Q222"/>
      <c r="R222"/>
      <c r="S222"/>
      <c r="T222"/>
      <c r="U222"/>
    </row>
    <row r="223" spans="1:21" x14ac:dyDescent="0.25">
      <c r="A223" s="33" t="s">
        <v>415</v>
      </c>
      <c r="B223" s="58">
        <v>1.0458155357701115E-2</v>
      </c>
      <c r="C223" s="58">
        <v>1.9635343618513323E-2</v>
      </c>
      <c r="M223">
        <v>199</v>
      </c>
      <c r="N223">
        <v>-2.4244187671071494E-2</v>
      </c>
      <c r="O223">
        <v>5.126540612247963E-3</v>
      </c>
      <c r="P223"/>
      <c r="Q223"/>
      <c r="R223"/>
      <c r="S223"/>
      <c r="T223"/>
      <c r="U223"/>
    </row>
    <row r="224" spans="1:21" x14ac:dyDescent="0.25">
      <c r="A224" s="33" t="s">
        <v>414</v>
      </c>
      <c r="B224" s="58">
        <v>-7.73269462597659E-4</v>
      </c>
      <c r="C224" s="58">
        <v>0</v>
      </c>
      <c r="M224">
        <v>200</v>
      </c>
      <c r="N224">
        <v>2.3704514341586391E-3</v>
      </c>
      <c r="O224">
        <v>6.6250508147169228E-3</v>
      </c>
      <c r="P224"/>
      <c r="Q224"/>
      <c r="R224"/>
      <c r="S224"/>
      <c r="T224"/>
      <c r="U224"/>
    </row>
    <row r="225" spans="1:21" x14ac:dyDescent="0.25">
      <c r="A225" s="33" t="s">
        <v>413</v>
      </c>
      <c r="B225" s="58">
        <v>6.1433203297074062E-3</v>
      </c>
      <c r="C225" s="58">
        <v>1.375515818431912E-3</v>
      </c>
      <c r="M225">
        <v>201</v>
      </c>
      <c r="N225">
        <v>3.9804400434911248E-3</v>
      </c>
      <c r="O225">
        <v>-3.9804400434911248E-3</v>
      </c>
      <c r="P225"/>
      <c r="Q225"/>
      <c r="R225"/>
      <c r="S225"/>
      <c r="T225"/>
      <c r="U225"/>
    </row>
    <row r="226" spans="1:21" x14ac:dyDescent="0.25">
      <c r="A226" s="33" t="s">
        <v>412</v>
      </c>
      <c r="B226" s="58">
        <v>-1.1943406868642146E-2</v>
      </c>
      <c r="C226" s="58">
        <v>-1.098901098901099E-2</v>
      </c>
      <c r="M226">
        <v>202</v>
      </c>
      <c r="N226">
        <v>-1.218034167767108E-2</v>
      </c>
      <c r="O226">
        <v>6.2368052735106046E-3</v>
      </c>
      <c r="P226"/>
      <c r="Q226"/>
      <c r="R226"/>
      <c r="S226"/>
      <c r="T226"/>
      <c r="U226"/>
    </row>
    <row r="227" spans="1:21" x14ac:dyDescent="0.25">
      <c r="A227" s="33" t="s">
        <v>411</v>
      </c>
      <c r="B227" s="58">
        <v>3.9680480317442245E-3</v>
      </c>
      <c r="C227" s="58">
        <v>8.3333333333333332E-3</v>
      </c>
      <c r="M227">
        <v>203</v>
      </c>
      <c r="N227">
        <v>1.044894947595661E-2</v>
      </c>
      <c r="O227">
        <v>1.4962111809544137E-2</v>
      </c>
      <c r="P227"/>
      <c r="Q227"/>
      <c r="R227"/>
      <c r="S227"/>
      <c r="T227"/>
      <c r="U227"/>
    </row>
    <row r="228" spans="1:21" x14ac:dyDescent="0.25">
      <c r="A228" s="33" t="s">
        <v>410</v>
      </c>
      <c r="B228" s="58">
        <v>-8.2188512694087827E-3</v>
      </c>
      <c r="C228" s="58">
        <v>-1.928374655647383E-2</v>
      </c>
      <c r="M228">
        <v>204</v>
      </c>
      <c r="N228">
        <v>1.7588545883300905E-2</v>
      </c>
      <c r="O228">
        <v>-1.5535604605603805E-3</v>
      </c>
      <c r="P228"/>
      <c r="Q228"/>
      <c r="R228"/>
      <c r="S228"/>
      <c r="T228"/>
      <c r="U228"/>
    </row>
    <row r="229" spans="1:21" x14ac:dyDescent="0.25">
      <c r="A229" s="33" t="s">
        <v>409</v>
      </c>
      <c r="B229" s="58">
        <v>4.4100902865753204E-4</v>
      </c>
      <c r="C229" s="58">
        <v>7.0224719101123594E-3</v>
      </c>
      <c r="M229">
        <v>205</v>
      </c>
      <c r="N229">
        <v>1.0834691338066879E-2</v>
      </c>
      <c r="O229">
        <v>-1.2269411567622115E-2</v>
      </c>
      <c r="P229"/>
      <c r="Q229"/>
      <c r="R229"/>
      <c r="S229"/>
      <c r="T229"/>
      <c r="U229"/>
    </row>
    <row r="230" spans="1:21" x14ac:dyDescent="0.25">
      <c r="A230" s="33" t="s">
        <v>408</v>
      </c>
      <c r="B230" s="58">
        <v>-1.326451281969057E-3</v>
      </c>
      <c r="C230" s="58">
        <v>-2.7894002789400278E-3</v>
      </c>
      <c r="M230">
        <v>206</v>
      </c>
      <c r="N230">
        <v>5.3270489883063155E-2</v>
      </c>
      <c r="O230">
        <v>-3.459232896352292E-2</v>
      </c>
      <c r="P230"/>
      <c r="Q230"/>
      <c r="R230"/>
      <c r="S230"/>
      <c r="T230"/>
      <c r="U230"/>
    </row>
    <row r="231" spans="1:21" x14ac:dyDescent="0.25">
      <c r="A231" s="33" t="s">
        <v>407</v>
      </c>
      <c r="B231" s="58">
        <v>1.03448137492124E-2</v>
      </c>
      <c r="C231" s="58">
        <v>1.5384615384615385E-2</v>
      </c>
      <c r="M231">
        <v>207</v>
      </c>
      <c r="N231">
        <v>-2.0745465492425962E-2</v>
      </c>
      <c r="O231">
        <v>2.0745465492425962E-2</v>
      </c>
      <c r="P231"/>
      <c r="Q231"/>
      <c r="R231"/>
      <c r="S231"/>
      <c r="T231"/>
      <c r="U231"/>
    </row>
    <row r="232" spans="1:21" x14ac:dyDescent="0.25">
      <c r="A232" s="33" t="s">
        <v>406</v>
      </c>
      <c r="B232" s="58">
        <v>2.9827034970312839E-3</v>
      </c>
      <c r="C232" s="58">
        <v>5.5096418732782371E-3</v>
      </c>
      <c r="M232">
        <v>208</v>
      </c>
      <c r="N232">
        <v>-7.5959297213299328E-3</v>
      </c>
      <c r="O232">
        <v>-6.5084426341002512E-3</v>
      </c>
      <c r="P232"/>
      <c r="Q232"/>
      <c r="R232"/>
      <c r="S232"/>
      <c r="T232"/>
      <c r="U232"/>
    </row>
    <row r="233" spans="1:21" x14ac:dyDescent="0.25">
      <c r="A233" s="33" t="s">
        <v>405</v>
      </c>
      <c r="B233" s="58">
        <v>3.9241929863464428E-3</v>
      </c>
      <c r="C233" s="58">
        <v>6.8493150684931503E-3</v>
      </c>
      <c r="M233">
        <v>209</v>
      </c>
      <c r="N233">
        <v>2.9559370700582952E-3</v>
      </c>
      <c r="O233">
        <v>2.7665235880246805E-3</v>
      </c>
      <c r="P233"/>
      <c r="Q233"/>
      <c r="R233"/>
      <c r="S233"/>
      <c r="T233"/>
      <c r="U233"/>
    </row>
    <row r="234" spans="1:21" x14ac:dyDescent="0.25">
      <c r="A234" s="33" t="s">
        <v>404</v>
      </c>
      <c r="B234" s="58">
        <v>-9.7070528977190301E-3</v>
      </c>
      <c r="C234" s="58">
        <v>-9.5238095238095247E-3</v>
      </c>
      <c r="M234">
        <v>210</v>
      </c>
      <c r="N234">
        <v>-5.7777568248393186E-3</v>
      </c>
      <c r="O234">
        <v>8.6227070382105843E-3</v>
      </c>
      <c r="P234"/>
      <c r="Q234"/>
      <c r="R234"/>
      <c r="S234"/>
      <c r="T234"/>
      <c r="U234"/>
    </row>
    <row r="235" spans="1:21" x14ac:dyDescent="0.25">
      <c r="A235" s="33" t="s">
        <v>403</v>
      </c>
      <c r="B235" s="58">
        <v>1.3351071033114791E-2</v>
      </c>
      <c r="C235" s="58">
        <v>4.120879120879121E-3</v>
      </c>
      <c r="M235">
        <v>211</v>
      </c>
      <c r="N235">
        <v>-1.3990096718303141E-3</v>
      </c>
      <c r="O235">
        <v>-1.9430044481742693E-5</v>
      </c>
      <c r="P235"/>
      <c r="Q235"/>
      <c r="R235"/>
      <c r="S235"/>
      <c r="T235"/>
      <c r="U235"/>
    </row>
    <row r="236" spans="1:21" x14ac:dyDescent="0.25">
      <c r="A236" s="33" t="s">
        <v>402</v>
      </c>
      <c r="B236" s="58">
        <v>7.6173855623423306E-3</v>
      </c>
      <c r="C236" s="58">
        <v>2.7359781121751026E-3</v>
      </c>
      <c r="M236">
        <v>212</v>
      </c>
      <c r="N236">
        <v>1.2228125811118267E-2</v>
      </c>
      <c r="O236">
        <v>-6.5463076293000855E-3</v>
      </c>
      <c r="P236"/>
      <c r="Q236"/>
      <c r="R236"/>
      <c r="S236"/>
      <c r="T236"/>
      <c r="U236"/>
    </row>
    <row r="237" spans="1:21" x14ac:dyDescent="0.25">
      <c r="A237" s="33" t="s">
        <v>401</v>
      </c>
      <c r="B237" s="58">
        <v>1.2872723868371256E-3</v>
      </c>
      <c r="C237" s="58">
        <v>-5.4570259208731242E-3</v>
      </c>
      <c r="M237">
        <v>213</v>
      </c>
      <c r="N237">
        <v>2.1196882997527165E-2</v>
      </c>
      <c r="O237">
        <v>-1.4228716980921353E-3</v>
      </c>
      <c r="P237"/>
      <c r="Q237"/>
      <c r="R237"/>
      <c r="S237"/>
      <c r="T237"/>
      <c r="U237"/>
    </row>
    <row r="238" spans="1:21" x14ac:dyDescent="0.25">
      <c r="A238" s="33" t="s">
        <v>400</v>
      </c>
      <c r="B238" s="58">
        <v>6.5839196528055853E-4</v>
      </c>
      <c r="C238" s="58">
        <v>6.8587105624142658E-3</v>
      </c>
      <c r="M238">
        <v>214</v>
      </c>
      <c r="N238">
        <v>1.4304624312008055E-3</v>
      </c>
      <c r="O238">
        <v>6.8797868762784193E-3</v>
      </c>
      <c r="P238"/>
      <c r="Q238"/>
      <c r="R238"/>
      <c r="S238"/>
      <c r="T238"/>
      <c r="U238"/>
    </row>
    <row r="239" spans="1:21" x14ac:dyDescent="0.25">
      <c r="A239" s="33" t="s">
        <v>399</v>
      </c>
      <c r="B239" s="58">
        <v>1.7811605769792294E-2</v>
      </c>
      <c r="C239" s="58">
        <v>1.9073569482288829E-2</v>
      </c>
      <c r="M239">
        <v>215</v>
      </c>
      <c r="N239">
        <v>-5.9532091599419157E-3</v>
      </c>
      <c r="O239">
        <v>1.8323300390627947E-3</v>
      </c>
      <c r="P239"/>
      <c r="Q239"/>
      <c r="R239"/>
      <c r="S239"/>
      <c r="T239"/>
      <c r="U239"/>
    </row>
    <row r="240" spans="1:21" x14ac:dyDescent="0.25">
      <c r="A240" s="33" t="s">
        <v>398</v>
      </c>
      <c r="B240" s="58">
        <v>-5.4622652335233899E-3</v>
      </c>
      <c r="C240" s="58">
        <v>2.6737967914438501E-3</v>
      </c>
      <c r="M240">
        <v>216</v>
      </c>
      <c r="N240">
        <v>8.8724173913761958E-3</v>
      </c>
      <c r="O240">
        <v>-6.1137967017210236E-3</v>
      </c>
      <c r="P240"/>
      <c r="Q240"/>
      <c r="R240"/>
      <c r="S240"/>
      <c r="T240"/>
      <c r="U240"/>
    </row>
    <row r="241" spans="1:21" x14ac:dyDescent="0.25">
      <c r="A241" s="33" t="s">
        <v>397</v>
      </c>
      <c r="B241" s="58">
        <v>-1.961523372896222E-4</v>
      </c>
      <c r="C241" s="58">
        <v>1.2E-2</v>
      </c>
      <c r="M241">
        <v>217</v>
      </c>
      <c r="N241">
        <v>8.0121146882323139E-3</v>
      </c>
      <c r="O241">
        <v>-6.6365988698004023E-3</v>
      </c>
      <c r="P241"/>
      <c r="Q241"/>
      <c r="R241"/>
      <c r="S241"/>
      <c r="T241"/>
      <c r="U241"/>
    </row>
    <row r="242" spans="1:21" x14ac:dyDescent="0.25">
      <c r="A242" s="33" t="s">
        <v>396</v>
      </c>
      <c r="B242" s="58">
        <v>1.1848386811360322E-3</v>
      </c>
      <c r="C242" s="58">
        <v>9.22266139657444E-3</v>
      </c>
      <c r="M242">
        <v>218</v>
      </c>
      <c r="N242">
        <v>1.3403081918831894E-3</v>
      </c>
      <c r="O242">
        <v>-1.3403081918831894E-3</v>
      </c>
      <c r="P242"/>
      <c r="Q242"/>
      <c r="R242"/>
      <c r="S242"/>
      <c r="T242"/>
      <c r="U242"/>
    </row>
    <row r="243" spans="1:21" x14ac:dyDescent="0.25">
      <c r="A243" s="33" t="s">
        <v>395</v>
      </c>
      <c r="B243" s="58">
        <v>4.1919779911549085E-3</v>
      </c>
      <c r="C243" s="58">
        <v>1.8276762402088774E-2</v>
      </c>
      <c r="M243">
        <v>219</v>
      </c>
      <c r="N243">
        <v>2.0700121109869176E-3</v>
      </c>
      <c r="O243">
        <v>-7.5645176054924129E-3</v>
      </c>
      <c r="P243"/>
      <c r="Q243"/>
      <c r="R243"/>
      <c r="S243"/>
      <c r="T243"/>
      <c r="U243"/>
    </row>
    <row r="244" spans="1:21" x14ac:dyDescent="0.25">
      <c r="A244" s="33" t="s">
        <v>394</v>
      </c>
      <c r="B244" s="58">
        <v>1.598622536828016E-2</v>
      </c>
      <c r="C244" s="58">
        <v>6.41025641025641E-3</v>
      </c>
      <c r="M244">
        <v>220</v>
      </c>
      <c r="N244">
        <v>-5.8805730480776461E-3</v>
      </c>
      <c r="O244">
        <v>-3.7879352392151712E-3</v>
      </c>
      <c r="P244"/>
      <c r="Q244"/>
      <c r="R244"/>
      <c r="S244"/>
      <c r="T244"/>
      <c r="U244"/>
    </row>
    <row r="245" spans="1:21" x14ac:dyDescent="0.3">
      <c r="C245" s="57"/>
      <c r="M245">
        <v>221</v>
      </c>
      <c r="N245">
        <v>5.0842666378747797E-4</v>
      </c>
      <c r="O245">
        <v>-6.0872272216675339E-3</v>
      </c>
      <c r="P245"/>
      <c r="Q245"/>
      <c r="R245"/>
      <c r="S245"/>
      <c r="T245"/>
      <c r="U245"/>
    </row>
    <row r="246" spans="1:21" x14ac:dyDescent="0.25">
      <c r="M246">
        <v>222</v>
      </c>
      <c r="N246">
        <v>1.0552022300498053E-2</v>
      </c>
      <c r="O246">
        <v>9.0833213180152705E-3</v>
      </c>
      <c r="P246"/>
      <c r="Q246"/>
      <c r="R246"/>
      <c r="S246"/>
      <c r="T246"/>
      <c r="U246"/>
    </row>
    <row r="247" spans="1:21" x14ac:dyDescent="0.25">
      <c r="M247">
        <v>223</v>
      </c>
      <c r="N247">
        <v>1.5216733961645652E-4</v>
      </c>
      <c r="O247">
        <v>-1.5216733961645652E-4</v>
      </c>
      <c r="P247"/>
      <c r="Q247"/>
      <c r="R247"/>
      <c r="S247"/>
      <c r="T247"/>
      <c r="U247"/>
    </row>
    <row r="248" spans="1:21" x14ac:dyDescent="0.25">
      <c r="M248">
        <v>224</v>
      </c>
      <c r="N248">
        <v>6.5566558007673133E-3</v>
      </c>
      <c r="O248">
        <v>-5.1811399823354018E-3</v>
      </c>
      <c r="P248"/>
      <c r="Q248"/>
      <c r="R248"/>
      <c r="S248"/>
      <c r="T248"/>
      <c r="U248"/>
    </row>
    <row r="249" spans="1:21" x14ac:dyDescent="0.25">
      <c r="M249">
        <v>225</v>
      </c>
      <c r="N249">
        <v>-1.019093790078265E-2</v>
      </c>
      <c r="O249">
        <v>-7.980730882283394E-4</v>
      </c>
      <c r="P249"/>
      <c r="Q249"/>
      <c r="R249"/>
      <c r="S249"/>
      <c r="T249"/>
      <c r="U249"/>
    </row>
    <row r="250" spans="1:21" x14ac:dyDescent="0.25">
      <c r="M250">
        <v>226</v>
      </c>
      <c r="N250">
        <v>4.5424397274553517E-3</v>
      </c>
      <c r="O250">
        <v>3.7908936058779815E-3</v>
      </c>
      <c r="P250"/>
      <c r="Q250"/>
      <c r="R250"/>
      <c r="S250"/>
      <c r="T250"/>
      <c r="U250"/>
    </row>
    <row r="251" spans="1:21" x14ac:dyDescent="0.25">
      <c r="M251">
        <v>227</v>
      </c>
      <c r="N251">
        <v>-6.7421467949774286E-3</v>
      </c>
      <c r="O251">
        <v>-1.2541599761496401E-2</v>
      </c>
      <c r="P251"/>
      <c r="Q251"/>
      <c r="R251"/>
      <c r="S251"/>
      <c r="T251"/>
      <c r="U251"/>
    </row>
    <row r="252" spans="1:21" x14ac:dyDescent="0.25">
      <c r="M252">
        <v>228</v>
      </c>
      <c r="N252">
        <v>1.2765411740340371E-3</v>
      </c>
      <c r="O252">
        <v>5.7459307360783222E-3</v>
      </c>
      <c r="P252"/>
      <c r="Q252"/>
      <c r="R252"/>
      <c r="S252"/>
      <c r="T252"/>
      <c r="U252"/>
    </row>
    <row r="253" spans="1:21" x14ac:dyDescent="0.25">
      <c r="M253">
        <v>229</v>
      </c>
      <c r="N253">
        <v>-3.600571359515598E-4</v>
      </c>
      <c r="O253">
        <v>-2.4293431429884679E-3</v>
      </c>
      <c r="P253"/>
      <c r="Q253"/>
      <c r="R253"/>
      <c r="S253"/>
      <c r="T253"/>
      <c r="U253"/>
    </row>
    <row r="254" spans="1:21" x14ac:dyDescent="0.25">
      <c r="M254">
        <v>230</v>
      </c>
      <c r="N254">
        <v>1.0447072455916863E-2</v>
      </c>
      <c r="O254">
        <v>4.9375429286985222E-3</v>
      </c>
      <c r="P254"/>
      <c r="Q254"/>
      <c r="R254"/>
      <c r="S254"/>
      <c r="T254"/>
      <c r="U254"/>
    </row>
    <row r="255" spans="1:21" x14ac:dyDescent="0.25">
      <c r="M255">
        <v>231</v>
      </c>
      <c r="N255">
        <v>3.6300496779763632E-3</v>
      </c>
      <c r="O255">
        <v>1.8795921953018739E-3</v>
      </c>
      <c r="P255"/>
      <c r="Q255"/>
      <c r="R255"/>
      <c r="S255"/>
      <c r="T255"/>
      <c r="U255"/>
    </row>
    <row r="256" spans="1:21" x14ac:dyDescent="0.25">
      <c r="M256">
        <v>232</v>
      </c>
      <c r="N256">
        <v>4.501831690742546E-3</v>
      </c>
      <c r="O256">
        <v>2.3474833777506043E-3</v>
      </c>
      <c r="P256"/>
      <c r="Q256"/>
      <c r="R256"/>
      <c r="S256"/>
      <c r="T256"/>
      <c r="U256"/>
    </row>
    <row r="257" spans="13:21" x14ac:dyDescent="0.25">
      <c r="M257">
        <v>233</v>
      </c>
      <c r="N257">
        <v>-8.1201626152856733E-3</v>
      </c>
      <c r="O257">
        <v>-1.4036469085238513E-3</v>
      </c>
      <c r="P257"/>
      <c r="Q257"/>
      <c r="R257"/>
      <c r="S257"/>
      <c r="T257"/>
      <c r="U257"/>
    </row>
    <row r="258" spans="13:21" x14ac:dyDescent="0.25">
      <c r="M258">
        <v>234</v>
      </c>
      <c r="N258">
        <v>1.3230747744485195E-2</v>
      </c>
      <c r="O258">
        <v>-9.1098686236060732E-3</v>
      </c>
      <c r="P258"/>
      <c r="Q258"/>
      <c r="R258"/>
      <c r="S258"/>
      <c r="T258"/>
      <c r="U258"/>
    </row>
    <row r="259" spans="13:21" x14ac:dyDescent="0.25">
      <c r="M259">
        <v>235</v>
      </c>
      <c r="N259">
        <v>7.921581878051389E-3</v>
      </c>
      <c r="O259">
        <v>-5.1856037658762864E-3</v>
      </c>
      <c r="P259"/>
      <c r="Q259"/>
      <c r="R259"/>
      <c r="S259"/>
      <c r="T259"/>
      <c r="U259"/>
    </row>
    <row r="260" spans="13:21" x14ac:dyDescent="0.25">
      <c r="M260">
        <v>236</v>
      </c>
      <c r="N260">
        <v>2.0601475574262952E-3</v>
      </c>
      <c r="O260">
        <v>-7.5171734782994194E-3</v>
      </c>
      <c r="P260"/>
      <c r="Q260"/>
      <c r="R260"/>
      <c r="S260"/>
      <c r="T260"/>
      <c r="U260"/>
    </row>
    <row r="261" spans="13:21" x14ac:dyDescent="0.25">
      <c r="M261">
        <v>237</v>
      </c>
      <c r="N261">
        <v>1.4778291715963848E-3</v>
      </c>
      <c r="O261">
        <v>5.3808813908178812E-3</v>
      </c>
      <c r="P261"/>
      <c r="Q261"/>
      <c r="R261"/>
      <c r="S261"/>
      <c r="T261"/>
      <c r="U261"/>
    </row>
    <row r="262" spans="13:21" x14ac:dyDescent="0.25">
      <c r="M262">
        <v>238</v>
      </c>
      <c r="N262">
        <v>1.7361026409181472E-2</v>
      </c>
      <c r="O262">
        <v>1.7125430731073574E-3</v>
      </c>
      <c r="P262"/>
      <c r="Q262"/>
      <c r="R262"/>
      <c r="S262"/>
      <c r="T262"/>
      <c r="U262"/>
    </row>
    <row r="263" spans="13:21" x14ac:dyDescent="0.25">
      <c r="M263">
        <v>239</v>
      </c>
      <c r="N263">
        <v>-4.1896572026874791E-3</v>
      </c>
      <c r="O263">
        <v>6.8634539941313296E-3</v>
      </c>
      <c r="P263"/>
      <c r="Q263"/>
      <c r="R263"/>
      <c r="S263"/>
      <c r="T263"/>
      <c r="U263"/>
    </row>
    <row r="264" spans="13:21" x14ac:dyDescent="0.25">
      <c r="M264">
        <v>240</v>
      </c>
      <c r="N264">
        <v>6.8655496137189922E-4</v>
      </c>
      <c r="O264">
        <v>1.1313445038628101E-2</v>
      </c>
      <c r="P264"/>
      <c r="Q264"/>
      <c r="R264"/>
      <c r="S264"/>
      <c r="T264"/>
      <c r="U264"/>
    </row>
    <row r="265" spans="13:21" x14ac:dyDescent="0.25">
      <c r="M265">
        <v>241</v>
      </c>
      <c r="N265">
        <v>1.9652979992053586E-3</v>
      </c>
      <c r="O265">
        <v>7.2573633973690814E-3</v>
      </c>
      <c r="P265"/>
      <c r="Q265"/>
      <c r="R265"/>
      <c r="S265"/>
      <c r="T265"/>
      <c r="U265"/>
    </row>
    <row r="266" spans="13:21" x14ac:dyDescent="0.25">
      <c r="M266">
        <v>242</v>
      </c>
      <c r="N266">
        <v>4.7497900090561563E-3</v>
      </c>
      <c r="O266">
        <v>1.3526972393032619E-2</v>
      </c>
      <c r="P266"/>
      <c r="Q266"/>
      <c r="R266"/>
      <c r="S266"/>
      <c r="T266"/>
      <c r="U266"/>
    </row>
    <row r="267" spans="13:21" ht="13.8" thickBot="1" x14ac:dyDescent="0.3">
      <c r="M267" s="61">
        <v>243</v>
      </c>
      <c r="N267" s="61">
        <v>1.5670796386909283E-2</v>
      </c>
      <c r="O267" s="61">
        <v>-9.2605399766528731E-3</v>
      </c>
      <c r="P267"/>
      <c r="Q267"/>
      <c r="R267"/>
      <c r="S267"/>
      <c r="T267"/>
      <c r="U267"/>
    </row>
  </sheetData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EA545-15B9-4170-BB26-C315C4A5FD55}">
  <dimension ref="A1:D2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9.109375" defaultRowHeight="13.2" x14ac:dyDescent="0.25"/>
  <cols>
    <col min="1" max="4" width="12.5546875" style="31" customWidth="1"/>
    <col min="5" max="16384" width="9.109375" style="31"/>
  </cols>
  <sheetData>
    <row r="1" spans="1:4" x14ac:dyDescent="0.25">
      <c r="A1" s="27" t="s">
        <v>664</v>
      </c>
      <c r="B1" s="27" t="s">
        <v>665</v>
      </c>
      <c r="C1" s="27" t="s">
        <v>301</v>
      </c>
      <c r="D1" s="27" t="s">
        <v>302</v>
      </c>
    </row>
    <row r="2" spans="1:4" x14ac:dyDescent="0.25">
      <c r="A2" s="64">
        <v>1</v>
      </c>
      <c r="B2" s="65">
        <v>7.3200000000000001E-2</v>
      </c>
      <c r="C2" s="65">
        <v>-0.28260000000000002</v>
      </c>
      <c r="D2" s="65">
        <v>9.1600000000000001E-2</v>
      </c>
    </row>
    <row r="3" spans="1:4" x14ac:dyDescent="0.25">
      <c r="A3" s="64">
        <v>2</v>
      </c>
      <c r="B3" s="65">
        <v>-2.47E-2</v>
      </c>
      <c r="C3" s="65">
        <v>-3.0300000000000001E-2</v>
      </c>
      <c r="D3" s="65">
        <v>7.3000000000000001E-3</v>
      </c>
    </row>
    <row r="4" spans="1:4" x14ac:dyDescent="0.25">
      <c r="A4" s="64">
        <v>3</v>
      </c>
      <c r="B4" s="65">
        <v>2.2599999999999999E-2</v>
      </c>
      <c r="C4" s="65">
        <v>8.7499999999999994E-2</v>
      </c>
      <c r="D4" s="65">
        <v>-2.8999999999999998E-3</v>
      </c>
    </row>
    <row r="5" spans="1:4" x14ac:dyDescent="0.25">
      <c r="A5" s="64">
        <v>4</v>
      </c>
      <c r="B5" s="65">
        <v>5.1799999999999999E-2</v>
      </c>
      <c r="C5" s="65">
        <v>-1.47E-2</v>
      </c>
      <c r="D5" s="65">
        <v>2.2100000000000002E-2</v>
      </c>
    </row>
    <row r="6" spans="1:4" x14ac:dyDescent="0.25">
      <c r="A6" s="64">
        <v>5</v>
      </c>
      <c r="B6" s="65">
        <v>4.0399999999999998E-2</v>
      </c>
      <c r="C6" s="65">
        <v>-1.49E-2</v>
      </c>
      <c r="D6" s="65">
        <v>-1.0800000000000001E-2</v>
      </c>
    </row>
    <row r="7" spans="1:4" x14ac:dyDescent="0.25">
      <c r="A7" s="64">
        <v>6</v>
      </c>
      <c r="B7" s="65">
        <v>-5.8999999999999999E-3</v>
      </c>
      <c r="C7" s="65">
        <v>-9.0899999999999995E-2</v>
      </c>
      <c r="D7" s="65">
        <v>-6.4999999999999997E-3</v>
      </c>
    </row>
    <row r="8" spans="1:4" x14ac:dyDescent="0.25">
      <c r="A8" s="64">
        <v>7</v>
      </c>
      <c r="B8" s="65">
        <v>9.01E-2</v>
      </c>
      <c r="C8" s="65">
        <v>0.1067</v>
      </c>
      <c r="D8" s="65">
        <v>2.2200000000000001E-2</v>
      </c>
    </row>
    <row r="9" spans="1:4" x14ac:dyDescent="0.25">
      <c r="A9" s="64">
        <v>8</v>
      </c>
      <c r="B9" s="65">
        <v>1.8599999999999998E-2</v>
      </c>
      <c r="C9" s="65">
        <v>-9.3799999999999994E-2</v>
      </c>
      <c r="D9" s="65">
        <v>0</v>
      </c>
    </row>
    <row r="10" spans="1:4" x14ac:dyDescent="0.25">
      <c r="A10" s="64">
        <v>9</v>
      </c>
      <c r="B10" s="65">
        <v>-4.0000000000000001E-3</v>
      </c>
      <c r="C10" s="65">
        <v>0.10340000000000001</v>
      </c>
      <c r="D10" s="65">
        <v>1.8800000000000001E-2</v>
      </c>
    </row>
    <row r="11" spans="1:4" x14ac:dyDescent="0.25">
      <c r="A11" s="64">
        <v>10</v>
      </c>
      <c r="B11" s="65">
        <v>-2.3400000000000001E-2</v>
      </c>
      <c r="C11" s="65">
        <v>-0.14380000000000001</v>
      </c>
      <c r="D11" s="65">
        <v>-7.5499999999999998E-2</v>
      </c>
    </row>
    <row r="12" spans="1:4" x14ac:dyDescent="0.25">
      <c r="A12" s="64">
        <v>11</v>
      </c>
      <c r="B12" s="65">
        <v>2.0400000000000001E-2</v>
      </c>
      <c r="C12" s="65">
        <v>-0.14810000000000001</v>
      </c>
      <c r="D12" s="65">
        <v>-0.12839999999999999</v>
      </c>
    </row>
    <row r="13" spans="1:4" x14ac:dyDescent="0.25">
      <c r="A13" s="64">
        <v>12</v>
      </c>
      <c r="B13" s="65">
        <v>2.3800000000000002E-2</v>
      </c>
      <c r="C13" s="65">
        <v>-4.3499999999999997E-2</v>
      </c>
      <c r="D13" s="65">
        <v>-1.7000000000000001E-2</v>
      </c>
    </row>
    <row r="14" spans="1:4" x14ac:dyDescent="0.25">
      <c r="A14" s="64">
        <v>13</v>
      </c>
      <c r="B14" s="65">
        <v>-6.7199999999999996E-2</v>
      </c>
      <c r="C14" s="65">
        <v>-5.45E-2</v>
      </c>
      <c r="D14" s="65">
        <v>-0.15210000000000001</v>
      </c>
    </row>
    <row r="15" spans="1:4" x14ac:dyDescent="0.25">
      <c r="A15" s="64">
        <v>14</v>
      </c>
      <c r="B15" s="65">
        <v>1.2699999999999999E-2</v>
      </c>
      <c r="C15" s="65">
        <v>0.05</v>
      </c>
      <c r="D15" s="65">
        <v>7.6100000000000001E-2</v>
      </c>
    </row>
    <row r="16" spans="1:4" x14ac:dyDescent="0.25">
      <c r="A16" s="64">
        <v>15</v>
      </c>
      <c r="B16" s="65">
        <v>2.6100000000000002E-2</v>
      </c>
      <c r="C16" s="65">
        <v>9.5200000000000007E-2</v>
      </c>
      <c r="D16" s="65">
        <v>1.11E-2</v>
      </c>
    </row>
    <row r="17" spans="1:4" x14ac:dyDescent="0.25">
      <c r="A17" s="64">
        <v>16</v>
      </c>
      <c r="B17" s="65">
        <v>-2.5000000000000001E-2</v>
      </c>
      <c r="C17" s="65">
        <v>-8.6999999999999994E-3</v>
      </c>
      <c r="D17" s="65">
        <v>-5.1000000000000004E-3</v>
      </c>
    </row>
    <row r="18" spans="1:4" x14ac:dyDescent="0.25">
      <c r="A18" s="64">
        <v>17</v>
      </c>
      <c r="B18" s="65">
        <v>9.69E-2</v>
      </c>
      <c r="C18" s="65">
        <v>0</v>
      </c>
      <c r="D18" s="65">
        <v>0.12709999999999999</v>
      </c>
    </row>
    <row r="19" spans="1:4" x14ac:dyDescent="0.25">
      <c r="A19" s="64">
        <v>18</v>
      </c>
      <c r="B19" s="65">
        <v>-6.8999999999999999E-3</v>
      </c>
      <c r="C19" s="65">
        <v>4.5499999999999999E-2</v>
      </c>
      <c r="D19" s="65">
        <v>3.32E-2</v>
      </c>
    </row>
    <row r="20" spans="1:4" x14ac:dyDescent="0.25">
      <c r="A20" s="64">
        <v>19</v>
      </c>
      <c r="B20" s="65">
        <v>-3.2000000000000002E-3</v>
      </c>
      <c r="C20" s="65">
        <v>3.4799999999999998E-2</v>
      </c>
      <c r="D20" s="65">
        <v>3.1699999999999999E-2</v>
      </c>
    </row>
    <row r="21" spans="1:4" x14ac:dyDescent="0.25">
      <c r="A21" s="64">
        <v>20</v>
      </c>
      <c r="B21" s="65">
        <v>-9.0300000000000005E-2</v>
      </c>
      <c r="C21" s="65">
        <v>0</v>
      </c>
      <c r="D21" s="65">
        <v>-0.1472</v>
      </c>
    </row>
    <row r="22" spans="1:4" x14ac:dyDescent="0.25">
      <c r="A22" s="64">
        <v>21</v>
      </c>
      <c r="B22" s="65">
        <v>-4.8899999999999999E-2</v>
      </c>
      <c r="C22" s="65">
        <v>-0.13039999999999999</v>
      </c>
      <c r="D22" s="65">
        <v>-1.9099999999999999E-2</v>
      </c>
    </row>
    <row r="23" spans="1:4" x14ac:dyDescent="0.25">
      <c r="A23" s="64">
        <v>22</v>
      </c>
      <c r="B23" s="65">
        <v>-4.1000000000000003E-3</v>
      </c>
      <c r="C23" s="65">
        <v>0</v>
      </c>
      <c r="D23" s="65">
        <v>-0.125</v>
      </c>
    </row>
    <row r="24" spans="1:4" x14ac:dyDescent="0.25">
      <c r="A24" s="64">
        <v>23</v>
      </c>
      <c r="B24" s="65">
        <v>6.4399999999999999E-2</v>
      </c>
      <c r="C24" s="65">
        <v>1.4999999999999999E-2</v>
      </c>
      <c r="D24" s="65">
        <v>0.1726</v>
      </c>
    </row>
    <row r="25" spans="1:4" x14ac:dyDescent="0.25">
      <c r="A25" s="64">
        <v>24</v>
      </c>
      <c r="B25" s="65">
        <v>2.7199999999999998E-2</v>
      </c>
      <c r="C25" s="65">
        <v>-2.5600000000000001E-2</v>
      </c>
      <c r="D25" s="65">
        <v>-8.5300000000000001E-2</v>
      </c>
    </row>
    <row r="27" spans="1:4" x14ac:dyDescent="0.25">
      <c r="A27" s="40" t="s">
        <v>666</v>
      </c>
      <c r="B27" s="66">
        <f>AVERAGE(B2:B25)</f>
        <v>1.1025000000000002E-2</v>
      </c>
      <c r="C27" s="66">
        <f t="shared" ref="C27:D27" si="0">AVERAGE(C2:C25)</f>
        <v>-2.2654166666666659E-2</v>
      </c>
      <c r="D27" s="66">
        <f t="shared" si="0"/>
        <v>-6.7124999999999988E-3</v>
      </c>
    </row>
    <row r="28" spans="1:4" x14ac:dyDescent="0.25">
      <c r="A28" s="40" t="s">
        <v>287</v>
      </c>
      <c r="B28" s="41">
        <f>STDEV(B2:B25)</f>
        <v>4.6063436882101017E-2</v>
      </c>
      <c r="C28" s="41">
        <f t="shared" ref="C28:D28" si="1">STDEV(C2:C25)</f>
        <v>9.2307359823235277E-2</v>
      </c>
      <c r="D28" s="41">
        <f t="shared" si="1"/>
        <v>8.1667711210415508E-2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E2526-EDB3-40E2-95B0-B8FF1CFAE96D}">
  <dimension ref="A1:C40"/>
  <sheetViews>
    <sheetView zoomScaleNormal="100" workbookViewId="0">
      <selection sqref="A1:C1"/>
    </sheetView>
  </sheetViews>
  <sheetFormatPr defaultColWidth="8.6640625" defaultRowHeight="13.2" x14ac:dyDescent="0.3"/>
  <cols>
    <col min="1" max="1" width="24.6640625" style="67" bestFit="1" customWidth="1"/>
    <col min="2" max="2" width="13.88671875" style="67" bestFit="1" customWidth="1"/>
    <col min="3" max="3" width="91.33203125" style="67" customWidth="1"/>
    <col min="4" max="4" width="8.6640625" style="67"/>
    <col min="5" max="5" width="8.6640625" style="67" customWidth="1"/>
    <col min="6" max="6" width="27.88671875" style="67" bestFit="1" customWidth="1"/>
    <col min="7" max="7" width="15" style="67" bestFit="1" customWidth="1"/>
    <col min="8" max="16384" width="8.6640625" style="67"/>
  </cols>
  <sheetData>
    <row r="1" spans="1:3" x14ac:dyDescent="0.3">
      <c r="A1" s="128" t="s">
        <v>671</v>
      </c>
      <c r="B1" s="128"/>
      <c r="C1" s="128"/>
    </row>
    <row r="3" spans="1:3" x14ac:dyDescent="0.3">
      <c r="A3" s="67" t="s">
        <v>669</v>
      </c>
      <c r="B3" s="68">
        <v>0.1</v>
      </c>
    </row>
    <row r="4" spans="1:3" x14ac:dyDescent="0.3">
      <c r="A4" s="67" t="s">
        <v>668</v>
      </c>
      <c r="B4" s="68">
        <v>0.06</v>
      </c>
    </row>
    <row r="5" spans="1:3" x14ac:dyDescent="0.3">
      <c r="A5" s="67" t="s">
        <v>667</v>
      </c>
      <c r="C5" s="69" t="s">
        <v>784</v>
      </c>
    </row>
    <row r="6" spans="1:3" x14ac:dyDescent="0.3">
      <c r="A6" s="67">
        <v>1</v>
      </c>
      <c r="B6" s="70">
        <f>(10000*$B$3)/(1+$B$4)+10000/(1+$B$4)</f>
        <v>10377.358490566037</v>
      </c>
      <c r="C6" s="71" t="s">
        <v>779</v>
      </c>
    </row>
    <row r="7" spans="1:3" x14ac:dyDescent="0.3">
      <c r="A7" s="67">
        <v>2</v>
      </c>
      <c r="B7" s="70">
        <f>(10000*$B$3)*(1/(1+$B$4)^2+1/(1+$B$4))+10000/(1+$B$4)^2</f>
        <v>10733.357066571733</v>
      </c>
      <c r="C7" s="71" t="s">
        <v>780</v>
      </c>
    </row>
    <row r="8" spans="1:3" x14ac:dyDescent="0.3">
      <c r="A8" s="67">
        <v>3</v>
      </c>
      <c r="B8" s="70">
        <f>(10000*$B$3)*(1/(1+$B$4)^3+1/(1+$B$4)^2+1/(1+$B$4))+10000/(1+$B$4)^3</f>
        <v>11069.204779784652</v>
      </c>
      <c r="C8" s="71" t="s">
        <v>782</v>
      </c>
    </row>
    <row r="9" spans="1:3" x14ac:dyDescent="0.3">
      <c r="A9" s="67">
        <v>4</v>
      </c>
      <c r="B9" s="70">
        <f>(10000*$B$3)*(1/(1+$B$4)^4+1/(1+$B$4)^3+1/(1+$B$4)^2+1/(1+$B$4))+10000/(1+$B$4)^4</f>
        <v>11386.04224507986</v>
      </c>
      <c r="C9" s="71" t="s">
        <v>781</v>
      </c>
    </row>
    <row r="10" spans="1:3" x14ac:dyDescent="0.3">
      <c r="A10" s="67">
        <v>5</v>
      </c>
      <c r="B10" s="70">
        <f>(10000*$B$3)*(1/(1+$B$4)^5+1/(1+$B$4)^4+1/(1+$B$4)^3+1/(1+$B$4)^2+1/(1+$B$4))+10000/(1+$B$4)^5</f>
        <v>11684.945514226281</v>
      </c>
      <c r="C10" s="72" t="s">
        <v>783</v>
      </c>
    </row>
    <row r="12" spans="1:3" x14ac:dyDescent="0.3">
      <c r="A12" s="67" t="s">
        <v>670</v>
      </c>
    </row>
    <row r="13" spans="1:3" x14ac:dyDescent="0.3">
      <c r="A13" s="67" t="s">
        <v>669</v>
      </c>
      <c r="B13" s="68">
        <v>0.1</v>
      </c>
    </row>
    <row r="14" spans="1:3" x14ac:dyDescent="0.3">
      <c r="A14" s="67" t="s">
        <v>668</v>
      </c>
      <c r="B14" s="68">
        <v>0.06</v>
      </c>
    </row>
    <row r="15" spans="1:3" x14ac:dyDescent="0.3">
      <c r="A15" s="67" t="s">
        <v>667</v>
      </c>
      <c r="C15" s="69" t="s">
        <v>785</v>
      </c>
    </row>
    <row r="16" spans="1:3" x14ac:dyDescent="0.3">
      <c r="A16" s="67">
        <v>1</v>
      </c>
      <c r="B16" s="73">
        <f>PV($B$14,$A16,-10000*$B$13,-10000)</f>
        <v>10377.358490566037</v>
      </c>
      <c r="C16" s="71" t="s">
        <v>786</v>
      </c>
    </row>
    <row r="17" spans="1:3" x14ac:dyDescent="0.3">
      <c r="A17" s="67">
        <v>2</v>
      </c>
      <c r="B17" s="73">
        <f>PV($B$14,$A17,-10000*$B$13,-10000)</f>
        <v>10733.357066571736</v>
      </c>
      <c r="C17" s="71" t="s">
        <v>787</v>
      </c>
    </row>
    <row r="18" spans="1:3" x14ac:dyDescent="0.3">
      <c r="A18" s="67">
        <v>3</v>
      </c>
      <c r="B18" s="73">
        <f>PV($B$14,$A18,-10000*$B$13,-10000)</f>
        <v>11069.204779784657</v>
      </c>
      <c r="C18" s="71" t="s">
        <v>788</v>
      </c>
    </row>
    <row r="19" spans="1:3" x14ac:dyDescent="0.3">
      <c r="A19" s="67">
        <v>4</v>
      </c>
      <c r="B19" s="73">
        <f>PV($B$14,$A19,-10000*$B$13,-10000)</f>
        <v>11386.042245079863</v>
      </c>
      <c r="C19" s="71" t="s">
        <v>789</v>
      </c>
    </row>
    <row r="20" spans="1:3" x14ac:dyDescent="0.3">
      <c r="A20" s="67">
        <v>5</v>
      </c>
      <c r="B20" s="73">
        <f>PV($B$14,$A20,-10000*$B$13,-10000)</f>
        <v>11684.945514226289</v>
      </c>
      <c r="C20" s="72" t="s">
        <v>790</v>
      </c>
    </row>
    <row r="23" spans="1:3" x14ac:dyDescent="0.3">
      <c r="A23" s="74" t="s">
        <v>791</v>
      </c>
      <c r="B23" s="74"/>
      <c r="C23" s="74"/>
    </row>
    <row r="24" spans="1:3" x14ac:dyDescent="0.3">
      <c r="A24" s="4"/>
      <c r="B24" s="4" t="s">
        <v>673</v>
      </c>
    </row>
    <row r="25" spans="1:3" x14ac:dyDescent="0.3">
      <c r="A25" s="4"/>
      <c r="B25" s="4" t="s">
        <v>674</v>
      </c>
    </row>
    <row r="26" spans="1:3" x14ac:dyDescent="0.3">
      <c r="A26" s="4"/>
      <c r="B26" s="4" t="s">
        <v>686</v>
      </c>
    </row>
    <row r="27" spans="1:3" x14ac:dyDescent="0.3">
      <c r="A27" s="4"/>
      <c r="B27" s="4"/>
    </row>
    <row r="28" spans="1:3" x14ac:dyDescent="0.3">
      <c r="A28" s="4" t="s">
        <v>675</v>
      </c>
      <c r="B28" s="75">
        <v>42799</v>
      </c>
    </row>
    <row r="29" spans="1:3" x14ac:dyDescent="0.3">
      <c r="A29" s="4" t="s">
        <v>676</v>
      </c>
      <c r="B29" s="75">
        <v>45327</v>
      </c>
    </row>
    <row r="30" spans="1:3" x14ac:dyDescent="0.3">
      <c r="A30" s="4" t="s">
        <v>677</v>
      </c>
      <c r="B30" s="4">
        <v>4.8750000000000002E-2</v>
      </c>
    </row>
    <row r="31" spans="1:3" x14ac:dyDescent="0.3">
      <c r="A31" s="4" t="s">
        <v>678</v>
      </c>
      <c r="B31" s="4">
        <v>4.1300000000000003E-2</v>
      </c>
    </row>
    <row r="32" spans="1:3" x14ac:dyDescent="0.3">
      <c r="A32" s="4" t="s">
        <v>679</v>
      </c>
      <c r="B32" s="4">
        <v>100</v>
      </c>
    </row>
    <row r="33" spans="1:3" x14ac:dyDescent="0.3">
      <c r="A33" s="4" t="s">
        <v>680</v>
      </c>
      <c r="B33" s="4">
        <v>2</v>
      </c>
    </row>
    <row r="34" spans="1:3" x14ac:dyDescent="0.3">
      <c r="A34" s="4"/>
      <c r="B34" s="4"/>
    </row>
    <row r="35" spans="1:3" x14ac:dyDescent="0.3">
      <c r="A35" s="4"/>
      <c r="B35" s="4"/>
      <c r="C35" s="67" t="s">
        <v>795</v>
      </c>
    </row>
    <row r="36" spans="1:3" x14ac:dyDescent="0.3">
      <c r="A36" s="4" t="s">
        <v>681</v>
      </c>
      <c r="B36" s="4">
        <f>PRICE(B28,B29,B30,B31,B32,B33)</f>
        <v>104.4393271512171</v>
      </c>
      <c r="C36" s="76" t="s">
        <v>792</v>
      </c>
    </row>
    <row r="37" spans="1:3" x14ac:dyDescent="0.3">
      <c r="A37" s="4" t="s">
        <v>682</v>
      </c>
      <c r="B37" s="4">
        <f>COUPDAYBS(B28,B29,B33,1)</f>
        <v>28</v>
      </c>
      <c r="C37" s="76" t="s">
        <v>793</v>
      </c>
    </row>
    <row r="38" spans="1:3" x14ac:dyDescent="0.3">
      <c r="A38" s="4" t="s">
        <v>683</v>
      </c>
      <c r="B38" s="4">
        <f>COUPDAYS(B28,B29,B33,1)</f>
        <v>181</v>
      </c>
      <c r="C38" s="76" t="s">
        <v>794</v>
      </c>
    </row>
    <row r="39" spans="1:3" x14ac:dyDescent="0.3">
      <c r="A39" s="4" t="s">
        <v>684</v>
      </c>
      <c r="B39" s="77">
        <f>(B37/B38)*B30*B32/B33</f>
        <v>0.37707182320441984</v>
      </c>
      <c r="C39" s="76" t="s">
        <v>796</v>
      </c>
    </row>
    <row r="40" spans="1:3" x14ac:dyDescent="0.3">
      <c r="A40" s="4" t="s">
        <v>685</v>
      </c>
      <c r="B40" s="77">
        <f>B36+B39</f>
        <v>104.81639897442152</v>
      </c>
      <c r="C40" s="76" t="s">
        <v>797</v>
      </c>
    </row>
  </sheetData>
  <mergeCells count="1">
    <mergeCell ref="A1:C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01439-130C-4C0B-A40C-238A33F201DE}">
  <dimension ref="A1:F25"/>
  <sheetViews>
    <sheetView zoomScaleNormal="100" workbookViewId="0">
      <selection activeCell="B1" sqref="B1"/>
    </sheetView>
  </sheetViews>
  <sheetFormatPr defaultRowHeight="13.2" x14ac:dyDescent="0.25"/>
  <cols>
    <col min="1" max="1" width="24.5546875" style="78" bestFit="1" customWidth="1"/>
    <col min="2" max="6" width="10.77734375" style="78" customWidth="1"/>
    <col min="7" max="10" width="8.6640625" style="78"/>
    <col min="11" max="11" width="27.88671875" style="78" bestFit="1" customWidth="1"/>
    <col min="12" max="12" width="13.44140625" style="78" bestFit="1" customWidth="1"/>
    <col min="13" max="259" width="8.6640625" style="78"/>
    <col min="260" max="261" width="10.5546875" style="78" bestFit="1" customWidth="1"/>
    <col min="262" max="262" width="11" style="78" customWidth="1"/>
    <col min="263" max="515" width="8.6640625" style="78"/>
    <col min="516" max="517" width="10.5546875" style="78" bestFit="1" customWidth="1"/>
    <col min="518" max="518" width="11" style="78" customWidth="1"/>
    <col min="519" max="771" width="8.6640625" style="78"/>
    <col min="772" max="773" width="10.5546875" style="78" bestFit="1" customWidth="1"/>
    <col min="774" max="774" width="11" style="78" customWidth="1"/>
    <col min="775" max="1027" width="8.6640625" style="78"/>
    <col min="1028" max="1029" width="10.5546875" style="78" bestFit="1" customWidth="1"/>
    <col min="1030" max="1030" width="11" style="78" customWidth="1"/>
    <col min="1031" max="1283" width="8.6640625" style="78"/>
    <col min="1284" max="1285" width="10.5546875" style="78" bestFit="1" customWidth="1"/>
    <col min="1286" max="1286" width="11" style="78" customWidth="1"/>
    <col min="1287" max="1539" width="8.6640625" style="78"/>
    <col min="1540" max="1541" width="10.5546875" style="78" bestFit="1" customWidth="1"/>
    <col min="1542" max="1542" width="11" style="78" customWidth="1"/>
    <col min="1543" max="1795" width="8.6640625" style="78"/>
    <col min="1796" max="1797" width="10.5546875" style="78" bestFit="1" customWidth="1"/>
    <col min="1798" max="1798" width="11" style="78" customWidth="1"/>
    <col min="1799" max="2051" width="8.6640625" style="78"/>
    <col min="2052" max="2053" width="10.5546875" style="78" bestFit="1" customWidth="1"/>
    <col min="2054" max="2054" width="11" style="78" customWidth="1"/>
    <col min="2055" max="2307" width="8.6640625" style="78"/>
    <col min="2308" max="2309" width="10.5546875" style="78" bestFit="1" customWidth="1"/>
    <col min="2310" max="2310" width="11" style="78" customWidth="1"/>
    <col min="2311" max="2563" width="8.6640625" style="78"/>
    <col min="2564" max="2565" width="10.5546875" style="78" bestFit="1" customWidth="1"/>
    <col min="2566" max="2566" width="11" style="78" customWidth="1"/>
    <col min="2567" max="2819" width="8.6640625" style="78"/>
    <col min="2820" max="2821" width="10.5546875" style="78" bestFit="1" customWidth="1"/>
    <col min="2822" max="2822" width="11" style="78" customWidth="1"/>
    <col min="2823" max="3075" width="8.6640625" style="78"/>
    <col min="3076" max="3077" width="10.5546875" style="78" bestFit="1" customWidth="1"/>
    <col min="3078" max="3078" width="11" style="78" customWidth="1"/>
    <col min="3079" max="3331" width="8.6640625" style="78"/>
    <col min="3332" max="3333" width="10.5546875" style="78" bestFit="1" customWidth="1"/>
    <col min="3334" max="3334" width="11" style="78" customWidth="1"/>
    <col min="3335" max="3587" width="8.6640625" style="78"/>
    <col min="3588" max="3589" width="10.5546875" style="78" bestFit="1" customWidth="1"/>
    <col min="3590" max="3590" width="11" style="78" customWidth="1"/>
    <col min="3591" max="3843" width="8.6640625" style="78"/>
    <col min="3844" max="3845" width="10.5546875" style="78" bestFit="1" customWidth="1"/>
    <col min="3846" max="3846" width="11" style="78" customWidth="1"/>
    <col min="3847" max="4099" width="8.6640625" style="78"/>
    <col min="4100" max="4101" width="10.5546875" style="78" bestFit="1" customWidth="1"/>
    <col min="4102" max="4102" width="11" style="78" customWidth="1"/>
    <col min="4103" max="4355" width="8.6640625" style="78"/>
    <col min="4356" max="4357" width="10.5546875" style="78" bestFit="1" customWidth="1"/>
    <col min="4358" max="4358" width="11" style="78" customWidth="1"/>
    <col min="4359" max="4611" width="8.6640625" style="78"/>
    <col min="4612" max="4613" width="10.5546875" style="78" bestFit="1" customWidth="1"/>
    <col min="4614" max="4614" width="11" style="78" customWidth="1"/>
    <col min="4615" max="4867" width="8.6640625" style="78"/>
    <col min="4868" max="4869" width="10.5546875" style="78" bestFit="1" customWidth="1"/>
    <col min="4870" max="4870" width="11" style="78" customWidth="1"/>
    <col min="4871" max="5123" width="8.6640625" style="78"/>
    <col min="5124" max="5125" width="10.5546875" style="78" bestFit="1" customWidth="1"/>
    <col min="5126" max="5126" width="11" style="78" customWidth="1"/>
    <col min="5127" max="5379" width="8.6640625" style="78"/>
    <col min="5380" max="5381" width="10.5546875" style="78" bestFit="1" customWidth="1"/>
    <col min="5382" max="5382" width="11" style="78" customWidth="1"/>
    <col min="5383" max="5635" width="8.6640625" style="78"/>
    <col min="5636" max="5637" width="10.5546875" style="78" bestFit="1" customWidth="1"/>
    <col min="5638" max="5638" width="11" style="78" customWidth="1"/>
    <col min="5639" max="5891" width="8.6640625" style="78"/>
    <col min="5892" max="5893" width="10.5546875" style="78" bestFit="1" customWidth="1"/>
    <col min="5894" max="5894" width="11" style="78" customWidth="1"/>
    <col min="5895" max="6147" width="8.6640625" style="78"/>
    <col min="6148" max="6149" width="10.5546875" style="78" bestFit="1" customWidth="1"/>
    <col min="6150" max="6150" width="11" style="78" customWidth="1"/>
    <col min="6151" max="6403" width="8.6640625" style="78"/>
    <col min="6404" max="6405" width="10.5546875" style="78" bestFit="1" customWidth="1"/>
    <col min="6406" max="6406" width="11" style="78" customWidth="1"/>
    <col min="6407" max="6659" width="8.6640625" style="78"/>
    <col min="6660" max="6661" width="10.5546875" style="78" bestFit="1" customWidth="1"/>
    <col min="6662" max="6662" width="11" style="78" customWidth="1"/>
    <col min="6663" max="6915" width="8.6640625" style="78"/>
    <col min="6916" max="6917" width="10.5546875" style="78" bestFit="1" customWidth="1"/>
    <col min="6918" max="6918" width="11" style="78" customWidth="1"/>
    <col min="6919" max="7171" width="8.6640625" style="78"/>
    <col min="7172" max="7173" width="10.5546875" style="78" bestFit="1" customWidth="1"/>
    <col min="7174" max="7174" width="11" style="78" customWidth="1"/>
    <col min="7175" max="7427" width="8.6640625" style="78"/>
    <col min="7428" max="7429" width="10.5546875" style="78" bestFit="1" customWidth="1"/>
    <col min="7430" max="7430" width="11" style="78" customWidth="1"/>
    <col min="7431" max="7683" width="8.6640625" style="78"/>
    <col min="7684" max="7685" width="10.5546875" style="78" bestFit="1" customWidth="1"/>
    <col min="7686" max="7686" width="11" style="78" customWidth="1"/>
    <col min="7687" max="7939" width="8.6640625" style="78"/>
    <col min="7940" max="7941" width="10.5546875" style="78" bestFit="1" customWidth="1"/>
    <col min="7942" max="7942" width="11" style="78" customWidth="1"/>
    <col min="7943" max="8195" width="8.6640625" style="78"/>
    <col min="8196" max="8197" width="10.5546875" style="78" bestFit="1" customWidth="1"/>
    <col min="8198" max="8198" width="11" style="78" customWidth="1"/>
    <col min="8199" max="8451" width="8.6640625" style="78"/>
    <col min="8452" max="8453" width="10.5546875" style="78" bestFit="1" customWidth="1"/>
    <col min="8454" max="8454" width="11" style="78" customWidth="1"/>
    <col min="8455" max="8707" width="8.6640625" style="78"/>
    <col min="8708" max="8709" width="10.5546875" style="78" bestFit="1" customWidth="1"/>
    <col min="8710" max="8710" width="11" style="78" customWidth="1"/>
    <col min="8711" max="8963" width="8.6640625" style="78"/>
    <col min="8964" max="8965" width="10.5546875" style="78" bestFit="1" customWidth="1"/>
    <col min="8966" max="8966" width="11" style="78" customWidth="1"/>
    <col min="8967" max="9219" width="8.6640625" style="78"/>
    <col min="9220" max="9221" width="10.5546875" style="78" bestFit="1" customWidth="1"/>
    <col min="9222" max="9222" width="11" style="78" customWidth="1"/>
    <col min="9223" max="9475" width="8.6640625" style="78"/>
    <col min="9476" max="9477" width="10.5546875" style="78" bestFit="1" customWidth="1"/>
    <col min="9478" max="9478" width="11" style="78" customWidth="1"/>
    <col min="9479" max="9731" width="8.6640625" style="78"/>
    <col min="9732" max="9733" width="10.5546875" style="78" bestFit="1" customWidth="1"/>
    <col min="9734" max="9734" width="11" style="78" customWidth="1"/>
    <col min="9735" max="9987" width="8.6640625" style="78"/>
    <col min="9988" max="9989" width="10.5546875" style="78" bestFit="1" customWidth="1"/>
    <col min="9990" max="9990" width="11" style="78" customWidth="1"/>
    <col min="9991" max="10243" width="8.6640625" style="78"/>
    <col min="10244" max="10245" width="10.5546875" style="78" bestFit="1" customWidth="1"/>
    <col min="10246" max="10246" width="11" style="78" customWidth="1"/>
    <col min="10247" max="10499" width="8.6640625" style="78"/>
    <col min="10500" max="10501" width="10.5546875" style="78" bestFit="1" customWidth="1"/>
    <col min="10502" max="10502" width="11" style="78" customWidth="1"/>
    <col min="10503" max="10755" width="8.6640625" style="78"/>
    <col min="10756" max="10757" width="10.5546875" style="78" bestFit="1" customWidth="1"/>
    <col min="10758" max="10758" width="11" style="78" customWidth="1"/>
    <col min="10759" max="11011" width="8.6640625" style="78"/>
    <col min="11012" max="11013" width="10.5546875" style="78" bestFit="1" customWidth="1"/>
    <col min="11014" max="11014" width="11" style="78" customWidth="1"/>
    <col min="11015" max="11267" width="8.6640625" style="78"/>
    <col min="11268" max="11269" width="10.5546875" style="78" bestFit="1" customWidth="1"/>
    <col min="11270" max="11270" width="11" style="78" customWidth="1"/>
    <col min="11271" max="11523" width="8.6640625" style="78"/>
    <col min="11524" max="11525" width="10.5546875" style="78" bestFit="1" customWidth="1"/>
    <col min="11526" max="11526" width="11" style="78" customWidth="1"/>
    <col min="11527" max="11779" width="8.6640625" style="78"/>
    <col min="11780" max="11781" width="10.5546875" style="78" bestFit="1" customWidth="1"/>
    <col min="11782" max="11782" width="11" style="78" customWidth="1"/>
    <col min="11783" max="12035" width="8.6640625" style="78"/>
    <col min="12036" max="12037" width="10.5546875" style="78" bestFit="1" customWidth="1"/>
    <col min="12038" max="12038" width="11" style="78" customWidth="1"/>
    <col min="12039" max="12291" width="8.6640625" style="78"/>
    <col min="12292" max="12293" width="10.5546875" style="78" bestFit="1" customWidth="1"/>
    <col min="12294" max="12294" width="11" style="78" customWidth="1"/>
    <col min="12295" max="12547" width="8.6640625" style="78"/>
    <col min="12548" max="12549" width="10.5546875" style="78" bestFit="1" customWidth="1"/>
    <col min="12550" max="12550" width="11" style="78" customWidth="1"/>
    <col min="12551" max="12803" width="8.6640625" style="78"/>
    <col min="12804" max="12805" width="10.5546875" style="78" bestFit="1" customWidth="1"/>
    <col min="12806" max="12806" width="11" style="78" customWidth="1"/>
    <col min="12807" max="13059" width="8.6640625" style="78"/>
    <col min="13060" max="13061" width="10.5546875" style="78" bestFit="1" customWidth="1"/>
    <col min="13062" max="13062" width="11" style="78" customWidth="1"/>
    <col min="13063" max="13315" width="8.6640625" style="78"/>
    <col min="13316" max="13317" width="10.5546875" style="78" bestFit="1" customWidth="1"/>
    <col min="13318" max="13318" width="11" style="78" customWidth="1"/>
    <col min="13319" max="13571" width="8.6640625" style="78"/>
    <col min="13572" max="13573" width="10.5546875" style="78" bestFit="1" customWidth="1"/>
    <col min="13574" max="13574" width="11" style="78" customWidth="1"/>
    <col min="13575" max="13827" width="8.6640625" style="78"/>
    <col min="13828" max="13829" width="10.5546875" style="78" bestFit="1" customWidth="1"/>
    <col min="13830" max="13830" width="11" style="78" customWidth="1"/>
    <col min="13831" max="14083" width="8.6640625" style="78"/>
    <col min="14084" max="14085" width="10.5546875" style="78" bestFit="1" customWidth="1"/>
    <col min="14086" max="14086" width="11" style="78" customWidth="1"/>
    <col min="14087" max="14339" width="8.6640625" style="78"/>
    <col min="14340" max="14341" width="10.5546875" style="78" bestFit="1" customWidth="1"/>
    <col min="14342" max="14342" width="11" style="78" customWidth="1"/>
    <col min="14343" max="14595" width="8.6640625" style="78"/>
    <col min="14596" max="14597" width="10.5546875" style="78" bestFit="1" customWidth="1"/>
    <col min="14598" max="14598" width="11" style="78" customWidth="1"/>
    <col min="14599" max="14851" width="8.6640625" style="78"/>
    <col min="14852" max="14853" width="10.5546875" style="78" bestFit="1" customWidth="1"/>
    <col min="14854" max="14854" width="11" style="78" customWidth="1"/>
    <col min="14855" max="15107" width="8.6640625" style="78"/>
    <col min="15108" max="15109" width="10.5546875" style="78" bestFit="1" customWidth="1"/>
    <col min="15110" max="15110" width="11" style="78" customWidth="1"/>
    <col min="15111" max="15363" width="8.6640625" style="78"/>
    <col min="15364" max="15365" width="10.5546875" style="78" bestFit="1" customWidth="1"/>
    <col min="15366" max="15366" width="11" style="78" customWidth="1"/>
    <col min="15367" max="15619" width="8.6640625" style="78"/>
    <col min="15620" max="15621" width="10.5546875" style="78" bestFit="1" customWidth="1"/>
    <col min="15622" max="15622" width="11" style="78" customWidth="1"/>
    <col min="15623" max="15875" width="8.6640625" style="78"/>
    <col min="15876" max="15877" width="10.5546875" style="78" bestFit="1" customWidth="1"/>
    <col min="15878" max="15878" width="11" style="78" customWidth="1"/>
    <col min="15879" max="16131" width="8.6640625" style="78"/>
    <col min="16132" max="16133" width="10.5546875" style="78" bestFit="1" customWidth="1"/>
    <col min="16134" max="16134" width="11" style="78" customWidth="1"/>
    <col min="16135" max="16383" width="8.6640625" style="78"/>
    <col min="16384" max="16384" width="8.6640625" style="78" customWidth="1"/>
  </cols>
  <sheetData>
    <row r="1" spans="1:6" ht="24" customHeight="1" x14ac:dyDescent="0.25">
      <c r="A1" s="88" t="s">
        <v>798</v>
      </c>
    </row>
    <row r="2" spans="1:6" x14ac:dyDescent="0.25">
      <c r="A2" s="78" t="s">
        <v>687</v>
      </c>
      <c r="B2" s="78">
        <v>10000</v>
      </c>
    </row>
    <row r="3" spans="1:6" x14ac:dyDescent="0.25">
      <c r="A3" s="78" t="s">
        <v>669</v>
      </c>
      <c r="B3" s="79">
        <v>0.15</v>
      </c>
    </row>
    <row r="4" spans="1:6" x14ac:dyDescent="0.25">
      <c r="A4" s="78" t="s">
        <v>688</v>
      </c>
      <c r="B4" s="79">
        <v>0.06</v>
      </c>
    </row>
    <row r="5" spans="1:6" x14ac:dyDescent="0.25">
      <c r="A5" s="78" t="s">
        <v>672</v>
      </c>
      <c r="B5" s="78" t="s">
        <v>689</v>
      </c>
    </row>
    <row r="7" spans="1:6" x14ac:dyDescent="0.25">
      <c r="B7" s="78" t="s">
        <v>690</v>
      </c>
      <c r="C7" s="78" t="s">
        <v>691</v>
      </c>
      <c r="D7" s="78" t="s">
        <v>692</v>
      </c>
      <c r="E7" s="78" t="s">
        <v>693</v>
      </c>
      <c r="F7" s="78" t="s">
        <v>694</v>
      </c>
    </row>
    <row r="8" spans="1:6" x14ac:dyDescent="0.25">
      <c r="B8" s="78">
        <v>1</v>
      </c>
      <c r="C8" s="78">
        <f>$B$2*$B$3</f>
        <v>1500</v>
      </c>
      <c r="D8" s="80">
        <f>C8/(1+$B$4)^B8</f>
        <v>1415.0943396226414</v>
      </c>
      <c r="E8" s="81">
        <f>D8/$D$13</f>
        <v>0.10260903970065859</v>
      </c>
      <c r="F8" s="81">
        <f>B8*E8</f>
        <v>0.10260903970065859</v>
      </c>
    </row>
    <row r="9" spans="1:6" x14ac:dyDescent="0.25">
      <c r="B9" s="78">
        <v>2</v>
      </c>
      <c r="C9" s="78">
        <f>$B$2*$B$3</f>
        <v>1500</v>
      </c>
      <c r="D9" s="80">
        <f>C9/(1+$B$4)^B9</f>
        <v>1334.9946600213598</v>
      </c>
      <c r="E9" s="81">
        <f>D9/$D$13</f>
        <v>9.6800980849677906E-2</v>
      </c>
      <c r="F9" s="81">
        <f>B9*E9</f>
        <v>0.19360196169935581</v>
      </c>
    </row>
    <row r="10" spans="1:6" x14ac:dyDescent="0.25">
      <c r="B10" s="78">
        <v>3</v>
      </c>
      <c r="C10" s="78">
        <f>$B$2*$B$3</f>
        <v>1500</v>
      </c>
      <c r="D10" s="80">
        <f>C10/(1+$B$4)^B10</f>
        <v>1259.4289245484524</v>
      </c>
      <c r="E10" s="81">
        <f>D10/$D$13</f>
        <v>9.132168004686593E-2</v>
      </c>
      <c r="F10" s="81">
        <f>B10*E10</f>
        <v>0.2739650401405978</v>
      </c>
    </row>
    <row r="11" spans="1:6" x14ac:dyDescent="0.25">
      <c r="B11" s="78">
        <v>4</v>
      </c>
      <c r="C11" s="78">
        <f>$B$2*$B$3</f>
        <v>1500</v>
      </c>
      <c r="D11" s="80">
        <f>C11/(1+$B$4)^B11</f>
        <v>1188.1404948570305</v>
      </c>
      <c r="E11" s="81">
        <f>D11/$D$13</f>
        <v>8.6152528346099932E-2</v>
      </c>
      <c r="F11" s="81">
        <f>B11*E11</f>
        <v>0.34461011338439973</v>
      </c>
    </row>
    <row r="12" spans="1:6" x14ac:dyDescent="0.25">
      <c r="B12" s="78">
        <v>5</v>
      </c>
      <c r="C12" s="78">
        <f>$B$2*$B$3+$B$2</f>
        <v>11500</v>
      </c>
      <c r="D12" s="80">
        <f>C12/(1+$B$4)^B12</f>
        <v>8593.4689879596535</v>
      </c>
      <c r="E12" s="81">
        <f>D12/$D$13</f>
        <v>0.62311577105669758</v>
      </c>
      <c r="F12" s="81">
        <f>B12*E12</f>
        <v>3.1155788552834878</v>
      </c>
    </row>
    <row r="13" spans="1:6" x14ac:dyDescent="0.25">
      <c r="D13" s="80">
        <f>SUM(D8:D12)</f>
        <v>13791.127407009139</v>
      </c>
      <c r="E13" s="80">
        <f>SUM(E8:E12)</f>
        <v>1</v>
      </c>
      <c r="F13" s="81">
        <f>SUM(F8:F12)</f>
        <v>4.0303650102084996</v>
      </c>
    </row>
    <row r="19" spans="1:3" ht="24" customHeight="1" x14ac:dyDescent="0.25">
      <c r="A19" s="88" t="s">
        <v>799</v>
      </c>
    </row>
    <row r="20" spans="1:3" x14ac:dyDescent="0.25">
      <c r="A20" s="82" t="s">
        <v>675</v>
      </c>
      <c r="B20" s="83">
        <v>38416</v>
      </c>
    </row>
    <row r="21" spans="1:3" x14ac:dyDescent="0.25">
      <c r="A21" s="82" t="s">
        <v>676</v>
      </c>
      <c r="B21" s="83">
        <v>40242</v>
      </c>
    </row>
    <row r="22" spans="1:3" x14ac:dyDescent="0.25">
      <c r="A22" s="82" t="s">
        <v>695</v>
      </c>
      <c r="B22" s="84">
        <v>0.15</v>
      </c>
    </row>
    <row r="23" spans="1:3" x14ac:dyDescent="0.25">
      <c r="A23" s="82" t="s">
        <v>678</v>
      </c>
      <c r="B23" s="84">
        <v>0.06</v>
      </c>
    </row>
    <row r="24" spans="1:3" x14ac:dyDescent="0.25">
      <c r="A24" s="82" t="s">
        <v>680</v>
      </c>
      <c r="B24" s="82">
        <v>1</v>
      </c>
    </row>
    <row r="25" spans="1:3" x14ac:dyDescent="0.25">
      <c r="A25" s="85" t="s">
        <v>801</v>
      </c>
      <c r="B25" s="86">
        <f>DURATION(B20,B21,B22,B23,B24)</f>
        <v>4.0303650102084996</v>
      </c>
      <c r="C25" s="87" t="s">
        <v>800</v>
      </c>
    </row>
  </sheetData>
  <phoneticPr fontId="1" type="noConversion"/>
  <pageMargins left="0.75" right="0.75" top="1" bottom="1" header="0.5" footer="0.5"/>
  <headerFooter alignWithMargins="0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09FF4-7AFA-4B15-B22D-5FC025A8CAF3}">
  <dimension ref="A2:G27"/>
  <sheetViews>
    <sheetView zoomScaleNormal="100" workbookViewId="0">
      <selection activeCell="I24" sqref="I24"/>
    </sheetView>
  </sheetViews>
  <sheetFormatPr defaultRowHeight="13.2" x14ac:dyDescent="0.3"/>
  <cols>
    <col min="1" max="1" width="11.33203125" style="67" customWidth="1"/>
    <col min="2" max="2" width="12" style="67" bestFit="1" customWidth="1"/>
    <col min="3" max="3" width="12.44140625" style="67" bestFit="1" customWidth="1"/>
    <col min="4" max="4" width="14.109375" style="67" bestFit="1" customWidth="1"/>
    <col min="5" max="6" width="13.33203125" style="67" bestFit="1" customWidth="1"/>
    <col min="7" max="7" width="12.44140625" style="67" bestFit="1" customWidth="1"/>
    <col min="8" max="256" width="8.6640625" style="67"/>
    <col min="257" max="258" width="11.33203125" style="67" customWidth="1"/>
    <col min="259" max="259" width="12.44140625" style="67" bestFit="1" customWidth="1"/>
    <col min="260" max="260" width="11.5546875" style="67" customWidth="1"/>
    <col min="261" max="261" width="12.44140625" style="67" customWidth="1"/>
    <col min="262" max="263" width="12.44140625" style="67" bestFit="1" customWidth="1"/>
    <col min="264" max="512" width="8.6640625" style="67"/>
    <col min="513" max="514" width="11.33203125" style="67" customWidth="1"/>
    <col min="515" max="515" width="12.44140625" style="67" bestFit="1" customWidth="1"/>
    <col min="516" max="516" width="11.5546875" style="67" customWidth="1"/>
    <col min="517" max="517" width="12.44140625" style="67" customWidth="1"/>
    <col min="518" max="519" width="12.44140625" style="67" bestFit="1" customWidth="1"/>
    <col min="520" max="768" width="8.6640625" style="67"/>
    <col min="769" max="770" width="11.33203125" style="67" customWidth="1"/>
    <col min="771" max="771" width="12.44140625" style="67" bestFit="1" customWidth="1"/>
    <col min="772" max="772" width="11.5546875" style="67" customWidth="1"/>
    <col min="773" max="773" width="12.44140625" style="67" customWidth="1"/>
    <col min="774" max="775" width="12.44140625" style="67" bestFit="1" customWidth="1"/>
    <col min="776" max="1024" width="8.6640625" style="67"/>
    <col min="1025" max="1026" width="11.33203125" style="67" customWidth="1"/>
    <col min="1027" max="1027" width="12.44140625" style="67" bestFit="1" customWidth="1"/>
    <col min="1028" max="1028" width="11.5546875" style="67" customWidth="1"/>
    <col min="1029" max="1029" width="12.44140625" style="67" customWidth="1"/>
    <col min="1030" max="1031" width="12.44140625" style="67" bestFit="1" customWidth="1"/>
    <col min="1032" max="1280" width="8.6640625" style="67"/>
    <col min="1281" max="1282" width="11.33203125" style="67" customWidth="1"/>
    <col min="1283" max="1283" width="12.44140625" style="67" bestFit="1" customWidth="1"/>
    <col min="1284" max="1284" width="11.5546875" style="67" customWidth="1"/>
    <col min="1285" max="1285" width="12.44140625" style="67" customWidth="1"/>
    <col min="1286" max="1287" width="12.44140625" style="67" bestFit="1" customWidth="1"/>
    <col min="1288" max="1536" width="8.6640625" style="67"/>
    <col min="1537" max="1538" width="11.33203125" style="67" customWidth="1"/>
    <col min="1539" max="1539" width="12.44140625" style="67" bestFit="1" customWidth="1"/>
    <col min="1540" max="1540" width="11.5546875" style="67" customWidth="1"/>
    <col min="1541" max="1541" width="12.44140625" style="67" customWidth="1"/>
    <col min="1542" max="1543" width="12.44140625" style="67" bestFit="1" customWidth="1"/>
    <col min="1544" max="1792" width="8.6640625" style="67"/>
    <col min="1793" max="1794" width="11.33203125" style="67" customWidth="1"/>
    <col min="1795" max="1795" width="12.44140625" style="67" bestFit="1" customWidth="1"/>
    <col min="1796" max="1796" width="11.5546875" style="67" customWidth="1"/>
    <col min="1797" max="1797" width="12.44140625" style="67" customWidth="1"/>
    <col min="1798" max="1799" width="12.44140625" style="67" bestFit="1" customWidth="1"/>
    <col min="1800" max="2048" width="8.6640625" style="67"/>
    <col min="2049" max="2050" width="11.33203125" style="67" customWidth="1"/>
    <col min="2051" max="2051" width="12.44140625" style="67" bestFit="1" customWidth="1"/>
    <col min="2052" max="2052" width="11.5546875" style="67" customWidth="1"/>
    <col min="2053" max="2053" width="12.44140625" style="67" customWidth="1"/>
    <col min="2054" max="2055" width="12.44140625" style="67" bestFit="1" customWidth="1"/>
    <col min="2056" max="2304" width="8.6640625" style="67"/>
    <col min="2305" max="2306" width="11.33203125" style="67" customWidth="1"/>
    <col min="2307" max="2307" width="12.44140625" style="67" bestFit="1" customWidth="1"/>
    <col min="2308" max="2308" width="11.5546875" style="67" customWidth="1"/>
    <col min="2309" max="2309" width="12.44140625" style="67" customWidth="1"/>
    <col min="2310" max="2311" width="12.44140625" style="67" bestFit="1" customWidth="1"/>
    <col min="2312" max="2560" width="8.6640625" style="67"/>
    <col min="2561" max="2562" width="11.33203125" style="67" customWidth="1"/>
    <col min="2563" max="2563" width="12.44140625" style="67" bestFit="1" customWidth="1"/>
    <col min="2564" max="2564" width="11.5546875" style="67" customWidth="1"/>
    <col min="2565" max="2565" width="12.44140625" style="67" customWidth="1"/>
    <col min="2566" max="2567" width="12.44140625" style="67" bestFit="1" customWidth="1"/>
    <col min="2568" max="2816" width="8.6640625" style="67"/>
    <col min="2817" max="2818" width="11.33203125" style="67" customWidth="1"/>
    <col min="2819" max="2819" width="12.44140625" style="67" bestFit="1" customWidth="1"/>
    <col min="2820" max="2820" width="11.5546875" style="67" customWidth="1"/>
    <col min="2821" max="2821" width="12.44140625" style="67" customWidth="1"/>
    <col min="2822" max="2823" width="12.44140625" style="67" bestFit="1" customWidth="1"/>
    <col min="2824" max="3072" width="8.6640625" style="67"/>
    <col min="3073" max="3074" width="11.33203125" style="67" customWidth="1"/>
    <col min="3075" max="3075" width="12.44140625" style="67" bestFit="1" customWidth="1"/>
    <col min="3076" max="3076" width="11.5546875" style="67" customWidth="1"/>
    <col min="3077" max="3077" width="12.44140625" style="67" customWidth="1"/>
    <col min="3078" max="3079" width="12.44140625" style="67" bestFit="1" customWidth="1"/>
    <col min="3080" max="3328" width="8.6640625" style="67"/>
    <col min="3329" max="3330" width="11.33203125" style="67" customWidth="1"/>
    <col min="3331" max="3331" width="12.44140625" style="67" bestFit="1" customWidth="1"/>
    <col min="3332" max="3332" width="11.5546875" style="67" customWidth="1"/>
    <col min="3333" max="3333" width="12.44140625" style="67" customWidth="1"/>
    <col min="3334" max="3335" width="12.44140625" style="67" bestFit="1" customWidth="1"/>
    <col min="3336" max="3584" width="8.6640625" style="67"/>
    <col min="3585" max="3586" width="11.33203125" style="67" customWidth="1"/>
    <col min="3587" max="3587" width="12.44140625" style="67" bestFit="1" customWidth="1"/>
    <col min="3588" max="3588" width="11.5546875" style="67" customWidth="1"/>
    <col min="3589" max="3589" width="12.44140625" style="67" customWidth="1"/>
    <col min="3590" max="3591" width="12.44140625" style="67" bestFit="1" customWidth="1"/>
    <col min="3592" max="3840" width="8.6640625" style="67"/>
    <col min="3841" max="3842" width="11.33203125" style="67" customWidth="1"/>
    <col min="3843" max="3843" width="12.44140625" style="67" bestFit="1" customWidth="1"/>
    <col min="3844" max="3844" width="11.5546875" style="67" customWidth="1"/>
    <col min="3845" max="3845" width="12.44140625" style="67" customWidth="1"/>
    <col min="3846" max="3847" width="12.44140625" style="67" bestFit="1" customWidth="1"/>
    <col min="3848" max="4096" width="8.6640625" style="67"/>
    <col min="4097" max="4098" width="11.33203125" style="67" customWidth="1"/>
    <col min="4099" max="4099" width="12.44140625" style="67" bestFit="1" customWidth="1"/>
    <col min="4100" max="4100" width="11.5546875" style="67" customWidth="1"/>
    <col min="4101" max="4101" width="12.44140625" style="67" customWidth="1"/>
    <col min="4102" max="4103" width="12.44140625" style="67" bestFit="1" customWidth="1"/>
    <col min="4104" max="4352" width="8.6640625" style="67"/>
    <col min="4353" max="4354" width="11.33203125" style="67" customWidth="1"/>
    <col min="4355" max="4355" width="12.44140625" style="67" bestFit="1" customWidth="1"/>
    <col min="4356" max="4356" width="11.5546875" style="67" customWidth="1"/>
    <col min="4357" max="4357" width="12.44140625" style="67" customWidth="1"/>
    <col min="4358" max="4359" width="12.44140625" style="67" bestFit="1" customWidth="1"/>
    <col min="4360" max="4608" width="8.6640625" style="67"/>
    <col min="4609" max="4610" width="11.33203125" style="67" customWidth="1"/>
    <col min="4611" max="4611" width="12.44140625" style="67" bestFit="1" customWidth="1"/>
    <col min="4612" max="4612" width="11.5546875" style="67" customWidth="1"/>
    <col min="4613" max="4613" width="12.44140625" style="67" customWidth="1"/>
    <col min="4614" max="4615" width="12.44140625" style="67" bestFit="1" customWidth="1"/>
    <col min="4616" max="4864" width="8.6640625" style="67"/>
    <col min="4865" max="4866" width="11.33203125" style="67" customWidth="1"/>
    <col min="4867" max="4867" width="12.44140625" style="67" bestFit="1" customWidth="1"/>
    <col min="4868" max="4868" width="11.5546875" style="67" customWidth="1"/>
    <col min="4869" max="4869" width="12.44140625" style="67" customWidth="1"/>
    <col min="4870" max="4871" width="12.44140625" style="67" bestFit="1" customWidth="1"/>
    <col min="4872" max="5120" width="8.6640625" style="67"/>
    <col min="5121" max="5122" width="11.33203125" style="67" customWidth="1"/>
    <col min="5123" max="5123" width="12.44140625" style="67" bestFit="1" customWidth="1"/>
    <col min="5124" max="5124" width="11.5546875" style="67" customWidth="1"/>
    <col min="5125" max="5125" width="12.44140625" style="67" customWidth="1"/>
    <col min="5126" max="5127" width="12.44140625" style="67" bestFit="1" customWidth="1"/>
    <col min="5128" max="5376" width="8.6640625" style="67"/>
    <col min="5377" max="5378" width="11.33203125" style="67" customWidth="1"/>
    <col min="5379" max="5379" width="12.44140625" style="67" bestFit="1" customWidth="1"/>
    <col min="5380" max="5380" width="11.5546875" style="67" customWidth="1"/>
    <col min="5381" max="5381" width="12.44140625" style="67" customWidth="1"/>
    <col min="5382" max="5383" width="12.44140625" style="67" bestFit="1" customWidth="1"/>
    <col min="5384" max="5632" width="8.6640625" style="67"/>
    <col min="5633" max="5634" width="11.33203125" style="67" customWidth="1"/>
    <col min="5635" max="5635" width="12.44140625" style="67" bestFit="1" customWidth="1"/>
    <col min="5636" max="5636" width="11.5546875" style="67" customWidth="1"/>
    <col min="5637" max="5637" width="12.44140625" style="67" customWidth="1"/>
    <col min="5638" max="5639" width="12.44140625" style="67" bestFit="1" customWidth="1"/>
    <col min="5640" max="5888" width="8.6640625" style="67"/>
    <col min="5889" max="5890" width="11.33203125" style="67" customWidth="1"/>
    <col min="5891" max="5891" width="12.44140625" style="67" bestFit="1" customWidth="1"/>
    <col min="5892" max="5892" width="11.5546875" style="67" customWidth="1"/>
    <col min="5893" max="5893" width="12.44140625" style="67" customWidth="1"/>
    <col min="5894" max="5895" width="12.44140625" style="67" bestFit="1" customWidth="1"/>
    <col min="5896" max="6144" width="8.6640625" style="67"/>
    <col min="6145" max="6146" width="11.33203125" style="67" customWidth="1"/>
    <col min="6147" max="6147" width="12.44140625" style="67" bestFit="1" customWidth="1"/>
    <col min="6148" max="6148" width="11.5546875" style="67" customWidth="1"/>
    <col min="6149" max="6149" width="12.44140625" style="67" customWidth="1"/>
    <col min="6150" max="6151" width="12.44140625" style="67" bestFit="1" customWidth="1"/>
    <col min="6152" max="6400" width="8.6640625" style="67"/>
    <col min="6401" max="6402" width="11.33203125" style="67" customWidth="1"/>
    <col min="6403" max="6403" width="12.44140625" style="67" bestFit="1" customWidth="1"/>
    <col min="6404" max="6404" width="11.5546875" style="67" customWidth="1"/>
    <col min="6405" max="6405" width="12.44140625" style="67" customWidth="1"/>
    <col min="6406" max="6407" width="12.44140625" style="67" bestFit="1" customWidth="1"/>
    <col min="6408" max="6656" width="8.6640625" style="67"/>
    <col min="6657" max="6658" width="11.33203125" style="67" customWidth="1"/>
    <col min="6659" max="6659" width="12.44140625" style="67" bestFit="1" customWidth="1"/>
    <col min="6660" max="6660" width="11.5546875" style="67" customWidth="1"/>
    <col min="6661" max="6661" width="12.44140625" style="67" customWidth="1"/>
    <col min="6662" max="6663" width="12.44140625" style="67" bestFit="1" customWidth="1"/>
    <col min="6664" max="6912" width="8.6640625" style="67"/>
    <col min="6913" max="6914" width="11.33203125" style="67" customWidth="1"/>
    <col min="6915" max="6915" width="12.44140625" style="67" bestFit="1" customWidth="1"/>
    <col min="6916" max="6916" width="11.5546875" style="67" customWidth="1"/>
    <col min="6917" max="6917" width="12.44140625" style="67" customWidth="1"/>
    <col min="6918" max="6919" width="12.44140625" style="67" bestFit="1" customWidth="1"/>
    <col min="6920" max="7168" width="8.6640625" style="67"/>
    <col min="7169" max="7170" width="11.33203125" style="67" customWidth="1"/>
    <col min="7171" max="7171" width="12.44140625" style="67" bestFit="1" customWidth="1"/>
    <col min="7172" max="7172" width="11.5546875" style="67" customWidth="1"/>
    <col min="7173" max="7173" width="12.44140625" style="67" customWidth="1"/>
    <col min="7174" max="7175" width="12.44140625" style="67" bestFit="1" customWidth="1"/>
    <col min="7176" max="7424" width="8.6640625" style="67"/>
    <col min="7425" max="7426" width="11.33203125" style="67" customWidth="1"/>
    <col min="7427" max="7427" width="12.44140625" style="67" bestFit="1" customWidth="1"/>
    <col min="7428" max="7428" width="11.5546875" style="67" customWidth="1"/>
    <col min="7429" max="7429" width="12.44140625" style="67" customWidth="1"/>
    <col min="7430" max="7431" width="12.44140625" style="67" bestFit="1" customWidth="1"/>
    <col min="7432" max="7680" width="8.6640625" style="67"/>
    <col min="7681" max="7682" width="11.33203125" style="67" customWidth="1"/>
    <col min="7683" max="7683" width="12.44140625" style="67" bestFit="1" customWidth="1"/>
    <col min="7684" max="7684" width="11.5546875" style="67" customWidth="1"/>
    <col min="7685" max="7685" width="12.44140625" style="67" customWidth="1"/>
    <col min="7686" max="7687" width="12.44140625" style="67" bestFit="1" customWidth="1"/>
    <col min="7688" max="7936" width="8.6640625" style="67"/>
    <col min="7937" max="7938" width="11.33203125" style="67" customWidth="1"/>
    <col min="7939" max="7939" width="12.44140625" style="67" bestFit="1" customWidth="1"/>
    <col min="7940" max="7940" width="11.5546875" style="67" customWidth="1"/>
    <col min="7941" max="7941" width="12.44140625" style="67" customWidth="1"/>
    <col min="7942" max="7943" width="12.44140625" style="67" bestFit="1" customWidth="1"/>
    <col min="7944" max="8192" width="8.6640625" style="67"/>
    <col min="8193" max="8194" width="11.33203125" style="67" customWidth="1"/>
    <col min="8195" max="8195" width="12.44140625" style="67" bestFit="1" customWidth="1"/>
    <col min="8196" max="8196" width="11.5546875" style="67" customWidth="1"/>
    <col min="8197" max="8197" width="12.44140625" style="67" customWidth="1"/>
    <col min="8198" max="8199" width="12.44140625" style="67" bestFit="1" customWidth="1"/>
    <col min="8200" max="8448" width="8.6640625" style="67"/>
    <col min="8449" max="8450" width="11.33203125" style="67" customWidth="1"/>
    <col min="8451" max="8451" width="12.44140625" style="67" bestFit="1" customWidth="1"/>
    <col min="8452" max="8452" width="11.5546875" style="67" customWidth="1"/>
    <col min="8453" max="8453" width="12.44140625" style="67" customWidth="1"/>
    <col min="8454" max="8455" width="12.44140625" style="67" bestFit="1" customWidth="1"/>
    <col min="8456" max="8704" width="8.6640625" style="67"/>
    <col min="8705" max="8706" width="11.33203125" style="67" customWidth="1"/>
    <col min="8707" max="8707" width="12.44140625" style="67" bestFit="1" customWidth="1"/>
    <col min="8708" max="8708" width="11.5546875" style="67" customWidth="1"/>
    <col min="8709" max="8709" width="12.44140625" style="67" customWidth="1"/>
    <col min="8710" max="8711" width="12.44140625" style="67" bestFit="1" customWidth="1"/>
    <col min="8712" max="8960" width="8.6640625" style="67"/>
    <col min="8961" max="8962" width="11.33203125" style="67" customWidth="1"/>
    <col min="8963" max="8963" width="12.44140625" style="67" bestFit="1" customWidth="1"/>
    <col min="8964" max="8964" width="11.5546875" style="67" customWidth="1"/>
    <col min="8965" max="8965" width="12.44140625" style="67" customWidth="1"/>
    <col min="8966" max="8967" width="12.44140625" style="67" bestFit="1" customWidth="1"/>
    <col min="8968" max="9216" width="8.6640625" style="67"/>
    <col min="9217" max="9218" width="11.33203125" style="67" customWidth="1"/>
    <col min="9219" max="9219" width="12.44140625" style="67" bestFit="1" customWidth="1"/>
    <col min="9220" max="9220" width="11.5546875" style="67" customWidth="1"/>
    <col min="9221" max="9221" width="12.44140625" style="67" customWidth="1"/>
    <col min="9222" max="9223" width="12.44140625" style="67" bestFit="1" customWidth="1"/>
    <col min="9224" max="9472" width="8.6640625" style="67"/>
    <col min="9473" max="9474" width="11.33203125" style="67" customWidth="1"/>
    <col min="9475" max="9475" width="12.44140625" style="67" bestFit="1" customWidth="1"/>
    <col min="9476" max="9476" width="11.5546875" style="67" customWidth="1"/>
    <col min="9477" max="9477" width="12.44140625" style="67" customWidth="1"/>
    <col min="9478" max="9479" width="12.44140625" style="67" bestFit="1" customWidth="1"/>
    <col min="9480" max="9728" width="8.6640625" style="67"/>
    <col min="9729" max="9730" width="11.33203125" style="67" customWidth="1"/>
    <col min="9731" max="9731" width="12.44140625" style="67" bestFit="1" customWidth="1"/>
    <col min="9732" max="9732" width="11.5546875" style="67" customWidth="1"/>
    <col min="9733" max="9733" width="12.44140625" style="67" customWidth="1"/>
    <col min="9734" max="9735" width="12.44140625" style="67" bestFit="1" customWidth="1"/>
    <col min="9736" max="9984" width="8.6640625" style="67"/>
    <col min="9985" max="9986" width="11.33203125" style="67" customWidth="1"/>
    <col min="9987" max="9987" width="12.44140625" style="67" bestFit="1" customWidth="1"/>
    <col min="9988" max="9988" width="11.5546875" style="67" customWidth="1"/>
    <col min="9989" max="9989" width="12.44140625" style="67" customWidth="1"/>
    <col min="9990" max="9991" width="12.44140625" style="67" bestFit="1" customWidth="1"/>
    <col min="9992" max="10240" width="8.6640625" style="67"/>
    <col min="10241" max="10242" width="11.33203125" style="67" customWidth="1"/>
    <col min="10243" max="10243" width="12.44140625" style="67" bestFit="1" customWidth="1"/>
    <col min="10244" max="10244" width="11.5546875" style="67" customWidth="1"/>
    <col min="10245" max="10245" width="12.44140625" style="67" customWidth="1"/>
    <col min="10246" max="10247" width="12.44140625" style="67" bestFit="1" customWidth="1"/>
    <col min="10248" max="10496" width="8.6640625" style="67"/>
    <col min="10497" max="10498" width="11.33203125" style="67" customWidth="1"/>
    <col min="10499" max="10499" width="12.44140625" style="67" bestFit="1" customWidth="1"/>
    <col min="10500" max="10500" width="11.5546875" style="67" customWidth="1"/>
    <col min="10501" max="10501" width="12.44140625" style="67" customWidth="1"/>
    <col min="10502" max="10503" width="12.44140625" style="67" bestFit="1" customWidth="1"/>
    <col min="10504" max="10752" width="8.6640625" style="67"/>
    <col min="10753" max="10754" width="11.33203125" style="67" customWidth="1"/>
    <col min="10755" max="10755" width="12.44140625" style="67" bestFit="1" customWidth="1"/>
    <col min="10756" max="10756" width="11.5546875" style="67" customWidth="1"/>
    <col min="10757" max="10757" width="12.44140625" style="67" customWidth="1"/>
    <col min="10758" max="10759" width="12.44140625" style="67" bestFit="1" customWidth="1"/>
    <col min="10760" max="11008" width="8.6640625" style="67"/>
    <col min="11009" max="11010" width="11.33203125" style="67" customWidth="1"/>
    <col min="11011" max="11011" width="12.44140625" style="67" bestFit="1" customWidth="1"/>
    <col min="11012" max="11012" width="11.5546875" style="67" customWidth="1"/>
    <col min="11013" max="11013" width="12.44140625" style="67" customWidth="1"/>
    <col min="11014" max="11015" width="12.44140625" style="67" bestFit="1" customWidth="1"/>
    <col min="11016" max="11264" width="8.6640625" style="67"/>
    <col min="11265" max="11266" width="11.33203125" style="67" customWidth="1"/>
    <col min="11267" max="11267" width="12.44140625" style="67" bestFit="1" customWidth="1"/>
    <col min="11268" max="11268" width="11.5546875" style="67" customWidth="1"/>
    <col min="11269" max="11269" width="12.44140625" style="67" customWidth="1"/>
    <col min="11270" max="11271" width="12.44140625" style="67" bestFit="1" customWidth="1"/>
    <col min="11272" max="11520" width="8.6640625" style="67"/>
    <col min="11521" max="11522" width="11.33203125" style="67" customWidth="1"/>
    <col min="11523" max="11523" width="12.44140625" style="67" bestFit="1" customWidth="1"/>
    <col min="11524" max="11524" width="11.5546875" style="67" customWidth="1"/>
    <col min="11525" max="11525" width="12.44140625" style="67" customWidth="1"/>
    <col min="11526" max="11527" width="12.44140625" style="67" bestFit="1" customWidth="1"/>
    <col min="11528" max="11776" width="8.6640625" style="67"/>
    <col min="11777" max="11778" width="11.33203125" style="67" customWidth="1"/>
    <col min="11779" max="11779" width="12.44140625" style="67" bestFit="1" customWidth="1"/>
    <col min="11780" max="11780" width="11.5546875" style="67" customWidth="1"/>
    <col min="11781" max="11781" width="12.44140625" style="67" customWidth="1"/>
    <col min="11782" max="11783" width="12.44140625" style="67" bestFit="1" customWidth="1"/>
    <col min="11784" max="12032" width="8.6640625" style="67"/>
    <col min="12033" max="12034" width="11.33203125" style="67" customWidth="1"/>
    <col min="12035" max="12035" width="12.44140625" style="67" bestFit="1" customWidth="1"/>
    <col min="12036" max="12036" width="11.5546875" style="67" customWidth="1"/>
    <col min="12037" max="12037" width="12.44140625" style="67" customWidth="1"/>
    <col min="12038" max="12039" width="12.44140625" style="67" bestFit="1" customWidth="1"/>
    <col min="12040" max="12288" width="8.6640625" style="67"/>
    <col min="12289" max="12290" width="11.33203125" style="67" customWidth="1"/>
    <col min="12291" max="12291" width="12.44140625" style="67" bestFit="1" customWidth="1"/>
    <col min="12292" max="12292" width="11.5546875" style="67" customWidth="1"/>
    <col min="12293" max="12293" width="12.44140625" style="67" customWidth="1"/>
    <col min="12294" max="12295" width="12.44140625" style="67" bestFit="1" customWidth="1"/>
    <col min="12296" max="12544" width="8.6640625" style="67"/>
    <col min="12545" max="12546" width="11.33203125" style="67" customWidth="1"/>
    <col min="12547" max="12547" width="12.44140625" style="67" bestFit="1" customWidth="1"/>
    <col min="12548" max="12548" width="11.5546875" style="67" customWidth="1"/>
    <col min="12549" max="12549" width="12.44140625" style="67" customWidth="1"/>
    <col min="12550" max="12551" width="12.44140625" style="67" bestFit="1" customWidth="1"/>
    <col min="12552" max="12800" width="8.6640625" style="67"/>
    <col min="12801" max="12802" width="11.33203125" style="67" customWidth="1"/>
    <col min="12803" max="12803" width="12.44140625" style="67" bestFit="1" customWidth="1"/>
    <col min="12804" max="12804" width="11.5546875" style="67" customWidth="1"/>
    <col min="12805" max="12805" width="12.44140625" style="67" customWidth="1"/>
    <col min="12806" max="12807" width="12.44140625" style="67" bestFit="1" customWidth="1"/>
    <col min="12808" max="13056" width="8.6640625" style="67"/>
    <col min="13057" max="13058" width="11.33203125" style="67" customWidth="1"/>
    <col min="13059" max="13059" width="12.44140625" style="67" bestFit="1" customWidth="1"/>
    <col min="13060" max="13060" width="11.5546875" style="67" customWidth="1"/>
    <col min="13061" max="13061" width="12.44140625" style="67" customWidth="1"/>
    <col min="13062" max="13063" width="12.44140625" style="67" bestFit="1" customWidth="1"/>
    <col min="13064" max="13312" width="8.6640625" style="67"/>
    <col min="13313" max="13314" width="11.33203125" style="67" customWidth="1"/>
    <col min="13315" max="13315" width="12.44140625" style="67" bestFit="1" customWidth="1"/>
    <col min="13316" max="13316" width="11.5546875" style="67" customWidth="1"/>
    <col min="13317" max="13317" width="12.44140625" style="67" customWidth="1"/>
    <col min="13318" max="13319" width="12.44140625" style="67" bestFit="1" customWidth="1"/>
    <col min="13320" max="13568" width="8.6640625" style="67"/>
    <col min="13569" max="13570" width="11.33203125" style="67" customWidth="1"/>
    <col min="13571" max="13571" width="12.44140625" style="67" bestFit="1" customWidth="1"/>
    <col min="13572" max="13572" width="11.5546875" style="67" customWidth="1"/>
    <col min="13573" max="13573" width="12.44140625" style="67" customWidth="1"/>
    <col min="13574" max="13575" width="12.44140625" style="67" bestFit="1" customWidth="1"/>
    <col min="13576" max="13824" width="8.6640625" style="67"/>
    <col min="13825" max="13826" width="11.33203125" style="67" customWidth="1"/>
    <col min="13827" max="13827" width="12.44140625" style="67" bestFit="1" customWidth="1"/>
    <col min="13828" max="13828" width="11.5546875" style="67" customWidth="1"/>
    <col min="13829" max="13829" width="12.44140625" style="67" customWidth="1"/>
    <col min="13830" max="13831" width="12.44140625" style="67" bestFit="1" customWidth="1"/>
    <col min="13832" max="14080" width="8.6640625" style="67"/>
    <col min="14081" max="14082" width="11.33203125" style="67" customWidth="1"/>
    <col min="14083" max="14083" width="12.44140625" style="67" bestFit="1" customWidth="1"/>
    <col min="14084" max="14084" width="11.5546875" style="67" customWidth="1"/>
    <col min="14085" max="14085" width="12.44140625" style="67" customWidth="1"/>
    <col min="14086" max="14087" width="12.44140625" style="67" bestFit="1" customWidth="1"/>
    <col min="14088" max="14336" width="8.6640625" style="67"/>
    <col min="14337" max="14338" width="11.33203125" style="67" customWidth="1"/>
    <col min="14339" max="14339" width="12.44140625" style="67" bestFit="1" customWidth="1"/>
    <col min="14340" max="14340" width="11.5546875" style="67" customWidth="1"/>
    <col min="14341" max="14341" width="12.44140625" style="67" customWidth="1"/>
    <col min="14342" max="14343" width="12.44140625" style="67" bestFit="1" customWidth="1"/>
    <col min="14344" max="14592" width="8.6640625" style="67"/>
    <col min="14593" max="14594" width="11.33203125" style="67" customWidth="1"/>
    <col min="14595" max="14595" width="12.44140625" style="67" bestFit="1" customWidth="1"/>
    <col min="14596" max="14596" width="11.5546875" style="67" customWidth="1"/>
    <col min="14597" max="14597" width="12.44140625" style="67" customWidth="1"/>
    <col min="14598" max="14599" width="12.44140625" style="67" bestFit="1" customWidth="1"/>
    <col min="14600" max="14848" width="8.6640625" style="67"/>
    <col min="14849" max="14850" width="11.33203125" style="67" customWidth="1"/>
    <col min="14851" max="14851" width="12.44140625" style="67" bestFit="1" customWidth="1"/>
    <col min="14852" max="14852" width="11.5546875" style="67" customWidth="1"/>
    <col min="14853" max="14853" width="12.44140625" style="67" customWidth="1"/>
    <col min="14854" max="14855" width="12.44140625" style="67" bestFit="1" customWidth="1"/>
    <col min="14856" max="15104" width="8.6640625" style="67"/>
    <col min="15105" max="15106" width="11.33203125" style="67" customWidth="1"/>
    <col min="15107" max="15107" width="12.44140625" style="67" bestFit="1" customWidth="1"/>
    <col min="15108" max="15108" width="11.5546875" style="67" customWidth="1"/>
    <col min="15109" max="15109" width="12.44140625" style="67" customWidth="1"/>
    <col min="15110" max="15111" width="12.44140625" style="67" bestFit="1" customWidth="1"/>
    <col min="15112" max="15360" width="8.6640625" style="67"/>
    <col min="15361" max="15362" width="11.33203125" style="67" customWidth="1"/>
    <col min="15363" max="15363" width="12.44140625" style="67" bestFit="1" customWidth="1"/>
    <col min="15364" max="15364" width="11.5546875" style="67" customWidth="1"/>
    <col min="15365" max="15365" width="12.44140625" style="67" customWidth="1"/>
    <col min="15366" max="15367" width="12.44140625" style="67" bestFit="1" customWidth="1"/>
    <col min="15368" max="15616" width="8.6640625" style="67"/>
    <col min="15617" max="15618" width="11.33203125" style="67" customWidth="1"/>
    <col min="15619" max="15619" width="12.44140625" style="67" bestFit="1" customWidth="1"/>
    <col min="15620" max="15620" width="11.5546875" style="67" customWidth="1"/>
    <col min="15621" max="15621" width="12.44140625" style="67" customWidth="1"/>
    <col min="15622" max="15623" width="12.44140625" style="67" bestFit="1" customWidth="1"/>
    <col min="15624" max="15872" width="8.6640625" style="67"/>
    <col min="15873" max="15874" width="11.33203125" style="67" customWidth="1"/>
    <col min="15875" max="15875" width="12.44140625" style="67" bestFit="1" customWidth="1"/>
    <col min="15876" max="15876" width="11.5546875" style="67" customWidth="1"/>
    <col min="15877" max="15877" width="12.44140625" style="67" customWidth="1"/>
    <col min="15878" max="15879" width="12.44140625" style="67" bestFit="1" customWidth="1"/>
    <col min="15880" max="16128" width="8.6640625" style="67"/>
    <col min="16129" max="16130" width="11.33203125" style="67" customWidth="1"/>
    <col min="16131" max="16131" width="12.44140625" style="67" bestFit="1" customWidth="1"/>
    <col min="16132" max="16132" width="11.5546875" style="67" customWidth="1"/>
    <col min="16133" max="16133" width="12.44140625" style="67" customWidth="1"/>
    <col min="16134" max="16135" width="12.44140625" style="67" bestFit="1" customWidth="1"/>
    <col min="16136" max="16383" width="8.6640625" style="67"/>
    <col min="16384" max="16384" width="8.6640625" style="67" customWidth="1"/>
  </cols>
  <sheetData>
    <row r="2" spans="1:6" x14ac:dyDescent="0.3">
      <c r="A2" s="67" t="s">
        <v>668</v>
      </c>
      <c r="B2" s="68">
        <v>0.1</v>
      </c>
    </row>
    <row r="4" spans="1:6" x14ac:dyDescent="0.3">
      <c r="A4" s="67" t="s">
        <v>696</v>
      </c>
      <c r="E4" s="67" t="s">
        <v>697</v>
      </c>
      <c r="F4" s="67" t="s">
        <v>698</v>
      </c>
    </row>
    <row r="5" spans="1:6" x14ac:dyDescent="0.3">
      <c r="A5" s="67" t="s">
        <v>699</v>
      </c>
      <c r="B5" s="67">
        <v>2</v>
      </c>
      <c r="D5" s="67" t="s">
        <v>669</v>
      </c>
      <c r="E5" s="68">
        <v>0.08</v>
      </c>
      <c r="F5" s="68">
        <v>7.0000000000000007E-2</v>
      </c>
    </row>
    <row r="6" spans="1:6" x14ac:dyDescent="0.3">
      <c r="A6" s="67" t="s">
        <v>700</v>
      </c>
      <c r="B6" s="89">
        <v>1000000</v>
      </c>
      <c r="D6" s="67" t="s">
        <v>687</v>
      </c>
      <c r="E6" s="89">
        <v>10000</v>
      </c>
      <c r="F6" s="89">
        <v>10000</v>
      </c>
    </row>
    <row r="7" spans="1:6" x14ac:dyDescent="0.3">
      <c r="A7" s="67" t="s">
        <v>701</v>
      </c>
      <c r="B7" s="67">
        <v>2</v>
      </c>
      <c r="D7" s="67" t="s">
        <v>672</v>
      </c>
      <c r="E7" s="67">
        <v>3</v>
      </c>
      <c r="F7" s="67">
        <v>1</v>
      </c>
    </row>
    <row r="8" spans="1:6" x14ac:dyDescent="0.3">
      <c r="D8" s="67" t="s">
        <v>702</v>
      </c>
      <c r="E8" s="90">
        <f>PV($B$2,E7,-E6*E5,-E6)</f>
        <v>9502.6296018031553</v>
      </c>
      <c r="F8" s="90">
        <f>PV($B$2,F7,-F6*F5,-F6)</f>
        <v>9727.2727272727261</v>
      </c>
    </row>
    <row r="9" spans="1:6" x14ac:dyDescent="0.3">
      <c r="D9" s="67" t="s">
        <v>701</v>
      </c>
      <c r="E9" s="91">
        <v>2.78</v>
      </c>
      <c r="F9" s="91">
        <f>ROUND(((1+$B$2)/$B$2)-((1+$B$2)+F7*(F5-$B$2))/(F5*((1+$B$2)^F7-1)+$B$2),2)</f>
        <v>1</v>
      </c>
    </row>
    <row r="10" spans="1:6" x14ac:dyDescent="0.3">
      <c r="D10" s="67" t="s">
        <v>703</v>
      </c>
      <c r="E10" s="92">
        <v>0.56179719101123615</v>
      </c>
      <c r="F10" s="92">
        <f>1-E10</f>
        <v>0.43820280898876385</v>
      </c>
    </row>
    <row r="11" spans="1:6" x14ac:dyDescent="0.3">
      <c r="C11" s="67" t="s">
        <v>704</v>
      </c>
      <c r="E11" s="93">
        <f>E10*E9+F10*F9</f>
        <v>1.9999990000000003</v>
      </c>
    </row>
    <row r="12" spans="1:6" x14ac:dyDescent="0.3">
      <c r="D12" s="67" t="s">
        <v>705</v>
      </c>
      <c r="E12" s="92">
        <f>E11-B7</f>
        <v>-9.9999999969568876E-7</v>
      </c>
    </row>
    <row r="13" spans="1:6" x14ac:dyDescent="0.3">
      <c r="E13" s="92"/>
    </row>
    <row r="14" spans="1:6" x14ac:dyDescent="0.3">
      <c r="D14" s="67" t="s">
        <v>706</v>
      </c>
    </row>
    <row r="15" spans="1:6" x14ac:dyDescent="0.3">
      <c r="C15" s="67" t="s">
        <v>707</v>
      </c>
      <c r="D15" s="91">
        <f>B6/(1+$B$2)^2</f>
        <v>826446.2809917354</v>
      </c>
      <c r="E15" s="91">
        <f>$D$15*E10</f>
        <v>464295.19918283971</v>
      </c>
      <c r="F15" s="91">
        <f>$D$15*F10</f>
        <v>362151.08180889569</v>
      </c>
    </row>
    <row r="16" spans="1:6" x14ac:dyDescent="0.3">
      <c r="C16" s="67" t="s">
        <v>708</v>
      </c>
      <c r="D16" s="91"/>
      <c r="E16" s="91">
        <f>ROUND(E15/E8,2)</f>
        <v>48.86</v>
      </c>
      <c r="F16" s="91">
        <f>ROUND(F15/F8,2)</f>
        <v>37.229999999999997</v>
      </c>
    </row>
    <row r="19" spans="1:7" x14ac:dyDescent="0.3">
      <c r="A19" s="67" t="s">
        <v>709</v>
      </c>
    </row>
    <row r="20" spans="1:7" x14ac:dyDescent="0.3">
      <c r="C20" s="67" t="s">
        <v>668</v>
      </c>
    </row>
    <row r="21" spans="1:7" ht="14.25" customHeight="1" x14ac:dyDescent="0.3">
      <c r="C21" s="68">
        <v>0.08</v>
      </c>
      <c r="D21" s="68">
        <v>0.09</v>
      </c>
      <c r="E21" s="68">
        <v>0.1</v>
      </c>
      <c r="F21" s="68">
        <v>0.11</v>
      </c>
      <c r="G21" s="68">
        <v>0.12</v>
      </c>
    </row>
    <row r="22" spans="1:7" ht="14.25" customHeight="1" x14ac:dyDescent="0.3">
      <c r="A22" s="129" t="s">
        <v>710</v>
      </c>
      <c r="B22" s="129"/>
      <c r="C22" s="89">
        <f>(1+$F$5)*$F$6*$F$16*(1+C21)</f>
        <v>430229.87999999995</v>
      </c>
      <c r="D22" s="89">
        <f>(1+$F$5)*$F$6*$F$16*(1+D21)</f>
        <v>434213.49</v>
      </c>
      <c r="E22" s="89">
        <f>(1+$F$5)*$F$6*$F$16*(1+E21)</f>
        <v>438197.1</v>
      </c>
      <c r="F22" s="89">
        <f>(1+$F$5)*$F$6*$F$16*(1+F21)</f>
        <v>442180.70999999996</v>
      </c>
      <c r="G22" s="89">
        <f>(1+$F$5)*$F$6*$F$16*(1+G21)</f>
        <v>446164.31999999995</v>
      </c>
    </row>
    <row r="23" spans="1:7" x14ac:dyDescent="0.3">
      <c r="A23" s="129" t="s">
        <v>711</v>
      </c>
      <c r="B23" s="129"/>
    </row>
    <row r="24" spans="1:7" x14ac:dyDescent="0.3">
      <c r="A24" s="130" t="s">
        <v>712</v>
      </c>
      <c r="B24" s="130"/>
      <c r="C24" s="89">
        <f>$E$6*$E$5*$E$16*(1+C21)</f>
        <v>42215.040000000001</v>
      </c>
      <c r="D24" s="89">
        <f>$E$6*$E$5*$E$16*(1+D21)</f>
        <v>42605.920000000006</v>
      </c>
      <c r="E24" s="89">
        <f>$E$6*$E$5*$E$16*(1+E21)</f>
        <v>42996.800000000003</v>
      </c>
      <c r="F24" s="89">
        <f>$E$6*$E$5*$E$16*(1+F21)</f>
        <v>43387.68</v>
      </c>
      <c r="G24" s="89">
        <f>$E$6*$E$5*$E$16*(1+G21)</f>
        <v>43778.560000000005</v>
      </c>
    </row>
    <row r="25" spans="1:7" x14ac:dyDescent="0.3">
      <c r="A25" s="130" t="s">
        <v>713</v>
      </c>
      <c r="B25" s="130"/>
      <c r="C25" s="89">
        <f>$E$6*$E$5*$E$16</f>
        <v>39088</v>
      </c>
      <c r="D25" s="89">
        <f>$E$6*$E$5*$E$16</f>
        <v>39088</v>
      </c>
      <c r="E25" s="89">
        <f>$E$6*$E$5*$E$16</f>
        <v>39088</v>
      </c>
      <c r="F25" s="89">
        <f>$E$6*$E$5*$E$16</f>
        <v>39088</v>
      </c>
      <c r="G25" s="89">
        <f>$E$6*$E$5*$E$16</f>
        <v>39088</v>
      </c>
    </row>
    <row r="26" spans="1:7" x14ac:dyDescent="0.3">
      <c r="A26" s="130" t="s">
        <v>714</v>
      </c>
      <c r="B26" s="130"/>
      <c r="C26" s="89">
        <f>(1+$E$5)*$E$6*$E$16/(1+C21)</f>
        <v>488599.99999999994</v>
      </c>
      <c r="D26" s="89">
        <f>(1+$E$5)*$E$6*$E$16/(1+D21)</f>
        <v>484117.43119266053</v>
      </c>
      <c r="E26" s="89">
        <f>(1+$E$5)*$E$6*$E$16/(1+E21)</f>
        <v>479716.36363636359</v>
      </c>
      <c r="F26" s="89">
        <f>(1+$E$5)*$E$6*$E$16/(1+F21)</f>
        <v>475394.59459459456</v>
      </c>
      <c r="G26" s="89">
        <f>(1+$E$5)*$E$6*$E$16/(1+G21)</f>
        <v>471149.99999999994</v>
      </c>
    </row>
    <row r="27" spans="1:7" x14ac:dyDescent="0.3">
      <c r="A27" s="129" t="s">
        <v>715</v>
      </c>
      <c r="B27" s="129"/>
      <c r="C27" s="89">
        <f>SUM(C22:C26)</f>
        <v>1000132.9199999999</v>
      </c>
      <c r="D27" s="89">
        <f>SUM(D22:D26)</f>
        <v>1000024.8411926605</v>
      </c>
      <c r="E27" s="89">
        <f>SUM(E22:E26)</f>
        <v>999998.26363636355</v>
      </c>
      <c r="F27" s="89">
        <f>SUM(F22:F26)</f>
        <v>1000050.9845945945</v>
      </c>
      <c r="G27" s="89">
        <f>SUM(G22:G26)</f>
        <v>1000180.8799999999</v>
      </c>
    </row>
  </sheetData>
  <mergeCells count="6">
    <mergeCell ref="A27:B27"/>
    <mergeCell ref="A22:B22"/>
    <mergeCell ref="A23:B23"/>
    <mergeCell ref="A24:B24"/>
    <mergeCell ref="A25:B25"/>
    <mergeCell ref="A26:B26"/>
  </mergeCells>
  <phoneticPr fontId="1" type="noConversion"/>
  <pageMargins left="0.75" right="0.75" top="1" bottom="1" header="0.5" footer="0.5"/>
  <pageSetup paperSize="9" orientation="portrait" horizontalDpi="150" verticalDpi="15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FEA2B-11B2-4432-BF8C-39955A843E32}">
  <dimension ref="A1:G29"/>
  <sheetViews>
    <sheetView zoomScaleNormal="100" workbookViewId="0">
      <selection activeCell="L19" sqref="L19"/>
    </sheetView>
  </sheetViews>
  <sheetFormatPr defaultRowHeight="13.2" x14ac:dyDescent="0.3"/>
  <cols>
    <col min="1" max="1" width="13.44140625" style="67" customWidth="1"/>
    <col min="2" max="2" width="16.6640625" style="67" customWidth="1"/>
    <col min="3" max="3" width="12.33203125" style="67" customWidth="1"/>
    <col min="4" max="4" width="16.44140625" style="67" customWidth="1"/>
    <col min="5" max="5" width="4.6640625" style="67" customWidth="1"/>
    <col min="6" max="6" width="9.44140625" style="67" customWidth="1"/>
    <col min="7" max="255" width="8.6640625" style="67"/>
    <col min="256" max="256" width="7.109375" style="67" customWidth="1"/>
    <col min="257" max="257" width="13.44140625" style="67" customWidth="1"/>
    <col min="258" max="258" width="16.6640625" style="67" customWidth="1"/>
    <col min="259" max="259" width="5.109375" style="67" customWidth="1"/>
    <col min="260" max="260" width="16.44140625" style="67" customWidth="1"/>
    <col min="261" max="261" width="4.6640625" style="67" customWidth="1"/>
    <col min="262" max="262" width="9.44140625" style="67" customWidth="1"/>
    <col min="263" max="511" width="8.6640625" style="67"/>
    <col min="512" max="512" width="7.109375" style="67" customWidth="1"/>
    <col min="513" max="513" width="13.44140625" style="67" customWidth="1"/>
    <col min="514" max="514" width="16.6640625" style="67" customWidth="1"/>
    <col min="515" max="515" width="5.109375" style="67" customWidth="1"/>
    <col min="516" max="516" width="16.44140625" style="67" customWidth="1"/>
    <col min="517" max="517" width="4.6640625" style="67" customWidth="1"/>
    <col min="518" max="518" width="9.44140625" style="67" customWidth="1"/>
    <col min="519" max="767" width="8.6640625" style="67"/>
    <col min="768" max="768" width="7.109375" style="67" customWidth="1"/>
    <col min="769" max="769" width="13.44140625" style="67" customWidth="1"/>
    <col min="770" max="770" width="16.6640625" style="67" customWidth="1"/>
    <col min="771" max="771" width="5.109375" style="67" customWidth="1"/>
    <col min="772" max="772" width="16.44140625" style="67" customWidth="1"/>
    <col min="773" max="773" width="4.6640625" style="67" customWidth="1"/>
    <col min="774" max="774" width="9.44140625" style="67" customWidth="1"/>
    <col min="775" max="1023" width="8.6640625" style="67"/>
    <col min="1024" max="1024" width="7.109375" style="67" customWidth="1"/>
    <col min="1025" max="1025" width="13.44140625" style="67" customWidth="1"/>
    <col min="1026" max="1026" width="16.6640625" style="67" customWidth="1"/>
    <col min="1027" max="1027" width="5.109375" style="67" customWidth="1"/>
    <col min="1028" max="1028" width="16.44140625" style="67" customWidth="1"/>
    <col min="1029" max="1029" width="4.6640625" style="67" customWidth="1"/>
    <col min="1030" max="1030" width="9.44140625" style="67" customWidth="1"/>
    <col min="1031" max="1279" width="8.6640625" style="67"/>
    <col min="1280" max="1280" width="7.109375" style="67" customWidth="1"/>
    <col min="1281" max="1281" width="13.44140625" style="67" customWidth="1"/>
    <col min="1282" max="1282" width="16.6640625" style="67" customWidth="1"/>
    <col min="1283" max="1283" width="5.109375" style="67" customWidth="1"/>
    <col min="1284" max="1284" width="16.44140625" style="67" customWidth="1"/>
    <col min="1285" max="1285" width="4.6640625" style="67" customWidth="1"/>
    <col min="1286" max="1286" width="9.44140625" style="67" customWidth="1"/>
    <col min="1287" max="1535" width="8.6640625" style="67"/>
    <col min="1536" max="1536" width="7.109375" style="67" customWidth="1"/>
    <col min="1537" max="1537" width="13.44140625" style="67" customWidth="1"/>
    <col min="1538" max="1538" width="16.6640625" style="67" customWidth="1"/>
    <col min="1539" max="1539" width="5.109375" style="67" customWidth="1"/>
    <col min="1540" max="1540" width="16.44140625" style="67" customWidth="1"/>
    <col min="1541" max="1541" width="4.6640625" style="67" customWidth="1"/>
    <col min="1542" max="1542" width="9.44140625" style="67" customWidth="1"/>
    <col min="1543" max="1791" width="8.6640625" style="67"/>
    <col min="1792" max="1792" width="7.109375" style="67" customWidth="1"/>
    <col min="1793" max="1793" width="13.44140625" style="67" customWidth="1"/>
    <col min="1794" max="1794" width="16.6640625" style="67" customWidth="1"/>
    <col min="1795" max="1795" width="5.109375" style="67" customWidth="1"/>
    <col min="1796" max="1796" width="16.44140625" style="67" customWidth="1"/>
    <col min="1797" max="1797" width="4.6640625" style="67" customWidth="1"/>
    <col min="1798" max="1798" width="9.44140625" style="67" customWidth="1"/>
    <col min="1799" max="2047" width="8.6640625" style="67"/>
    <col min="2048" max="2048" width="7.109375" style="67" customWidth="1"/>
    <col min="2049" max="2049" width="13.44140625" style="67" customWidth="1"/>
    <col min="2050" max="2050" width="16.6640625" style="67" customWidth="1"/>
    <col min="2051" max="2051" width="5.109375" style="67" customWidth="1"/>
    <col min="2052" max="2052" width="16.44140625" style="67" customWidth="1"/>
    <col min="2053" max="2053" width="4.6640625" style="67" customWidth="1"/>
    <col min="2054" max="2054" width="9.44140625" style="67" customWidth="1"/>
    <col min="2055" max="2303" width="8.6640625" style="67"/>
    <col min="2304" max="2304" width="7.109375" style="67" customWidth="1"/>
    <col min="2305" max="2305" width="13.44140625" style="67" customWidth="1"/>
    <col min="2306" max="2306" width="16.6640625" style="67" customWidth="1"/>
    <col min="2307" max="2307" width="5.109375" style="67" customWidth="1"/>
    <col min="2308" max="2308" width="16.44140625" style="67" customWidth="1"/>
    <col min="2309" max="2309" width="4.6640625" style="67" customWidth="1"/>
    <col min="2310" max="2310" width="9.44140625" style="67" customWidth="1"/>
    <col min="2311" max="2559" width="8.6640625" style="67"/>
    <col min="2560" max="2560" width="7.109375" style="67" customWidth="1"/>
    <col min="2561" max="2561" width="13.44140625" style="67" customWidth="1"/>
    <col min="2562" max="2562" width="16.6640625" style="67" customWidth="1"/>
    <col min="2563" max="2563" width="5.109375" style="67" customWidth="1"/>
    <col min="2564" max="2564" width="16.44140625" style="67" customWidth="1"/>
    <col min="2565" max="2565" width="4.6640625" style="67" customWidth="1"/>
    <col min="2566" max="2566" width="9.44140625" style="67" customWidth="1"/>
    <col min="2567" max="2815" width="8.6640625" style="67"/>
    <col min="2816" max="2816" width="7.109375" style="67" customWidth="1"/>
    <col min="2817" max="2817" width="13.44140625" style="67" customWidth="1"/>
    <col min="2818" max="2818" width="16.6640625" style="67" customWidth="1"/>
    <col min="2819" max="2819" width="5.109375" style="67" customWidth="1"/>
    <col min="2820" max="2820" width="16.44140625" style="67" customWidth="1"/>
    <col min="2821" max="2821" width="4.6640625" style="67" customWidth="1"/>
    <col min="2822" max="2822" width="9.44140625" style="67" customWidth="1"/>
    <col min="2823" max="3071" width="8.6640625" style="67"/>
    <col min="3072" max="3072" width="7.109375" style="67" customWidth="1"/>
    <col min="3073" max="3073" width="13.44140625" style="67" customWidth="1"/>
    <col min="3074" max="3074" width="16.6640625" style="67" customWidth="1"/>
    <col min="3075" max="3075" width="5.109375" style="67" customWidth="1"/>
    <col min="3076" max="3076" width="16.44140625" style="67" customWidth="1"/>
    <col min="3077" max="3077" width="4.6640625" style="67" customWidth="1"/>
    <col min="3078" max="3078" width="9.44140625" style="67" customWidth="1"/>
    <col min="3079" max="3327" width="8.6640625" style="67"/>
    <col min="3328" max="3328" width="7.109375" style="67" customWidth="1"/>
    <col min="3329" max="3329" width="13.44140625" style="67" customWidth="1"/>
    <col min="3330" max="3330" width="16.6640625" style="67" customWidth="1"/>
    <col min="3331" max="3331" width="5.109375" style="67" customWidth="1"/>
    <col min="3332" max="3332" width="16.44140625" style="67" customWidth="1"/>
    <col min="3333" max="3333" width="4.6640625" style="67" customWidth="1"/>
    <col min="3334" max="3334" width="9.44140625" style="67" customWidth="1"/>
    <col min="3335" max="3583" width="8.6640625" style="67"/>
    <col min="3584" max="3584" width="7.109375" style="67" customWidth="1"/>
    <col min="3585" max="3585" width="13.44140625" style="67" customWidth="1"/>
    <col min="3586" max="3586" width="16.6640625" style="67" customWidth="1"/>
    <col min="3587" max="3587" width="5.109375" style="67" customWidth="1"/>
    <col min="3588" max="3588" width="16.44140625" style="67" customWidth="1"/>
    <col min="3589" max="3589" width="4.6640625" style="67" customWidth="1"/>
    <col min="3590" max="3590" width="9.44140625" style="67" customWidth="1"/>
    <col min="3591" max="3839" width="8.6640625" style="67"/>
    <col min="3840" max="3840" width="7.109375" style="67" customWidth="1"/>
    <col min="3841" max="3841" width="13.44140625" style="67" customWidth="1"/>
    <col min="3842" max="3842" width="16.6640625" style="67" customWidth="1"/>
    <col min="3843" max="3843" width="5.109375" style="67" customWidth="1"/>
    <col min="3844" max="3844" width="16.44140625" style="67" customWidth="1"/>
    <col min="3845" max="3845" width="4.6640625" style="67" customWidth="1"/>
    <col min="3846" max="3846" width="9.44140625" style="67" customWidth="1"/>
    <col min="3847" max="4095" width="8.6640625" style="67"/>
    <col min="4096" max="4096" width="7.109375" style="67" customWidth="1"/>
    <col min="4097" max="4097" width="13.44140625" style="67" customWidth="1"/>
    <col min="4098" max="4098" width="16.6640625" style="67" customWidth="1"/>
    <col min="4099" max="4099" width="5.109375" style="67" customWidth="1"/>
    <col min="4100" max="4100" width="16.44140625" style="67" customWidth="1"/>
    <col min="4101" max="4101" width="4.6640625" style="67" customWidth="1"/>
    <col min="4102" max="4102" width="9.44140625" style="67" customWidth="1"/>
    <col min="4103" max="4351" width="8.6640625" style="67"/>
    <col min="4352" max="4352" width="7.109375" style="67" customWidth="1"/>
    <col min="4353" max="4353" width="13.44140625" style="67" customWidth="1"/>
    <col min="4354" max="4354" width="16.6640625" style="67" customWidth="1"/>
    <col min="4355" max="4355" width="5.109375" style="67" customWidth="1"/>
    <col min="4356" max="4356" width="16.44140625" style="67" customWidth="1"/>
    <col min="4357" max="4357" width="4.6640625" style="67" customWidth="1"/>
    <col min="4358" max="4358" width="9.44140625" style="67" customWidth="1"/>
    <col min="4359" max="4607" width="8.6640625" style="67"/>
    <col min="4608" max="4608" width="7.109375" style="67" customWidth="1"/>
    <col min="4609" max="4609" width="13.44140625" style="67" customWidth="1"/>
    <col min="4610" max="4610" width="16.6640625" style="67" customWidth="1"/>
    <col min="4611" max="4611" width="5.109375" style="67" customWidth="1"/>
    <col min="4612" max="4612" width="16.44140625" style="67" customWidth="1"/>
    <col min="4613" max="4613" width="4.6640625" style="67" customWidth="1"/>
    <col min="4614" max="4614" width="9.44140625" style="67" customWidth="1"/>
    <col min="4615" max="4863" width="8.6640625" style="67"/>
    <col min="4864" max="4864" width="7.109375" style="67" customWidth="1"/>
    <col min="4865" max="4865" width="13.44140625" style="67" customWidth="1"/>
    <col min="4866" max="4866" width="16.6640625" style="67" customWidth="1"/>
    <col min="4867" max="4867" width="5.109375" style="67" customWidth="1"/>
    <col min="4868" max="4868" width="16.44140625" style="67" customWidth="1"/>
    <col min="4869" max="4869" width="4.6640625" style="67" customWidth="1"/>
    <col min="4870" max="4870" width="9.44140625" style="67" customWidth="1"/>
    <col min="4871" max="5119" width="8.6640625" style="67"/>
    <col min="5120" max="5120" width="7.109375" style="67" customWidth="1"/>
    <col min="5121" max="5121" width="13.44140625" style="67" customWidth="1"/>
    <col min="5122" max="5122" width="16.6640625" style="67" customWidth="1"/>
    <col min="5123" max="5123" width="5.109375" style="67" customWidth="1"/>
    <col min="5124" max="5124" width="16.44140625" style="67" customWidth="1"/>
    <col min="5125" max="5125" width="4.6640625" style="67" customWidth="1"/>
    <col min="5126" max="5126" width="9.44140625" style="67" customWidth="1"/>
    <col min="5127" max="5375" width="8.6640625" style="67"/>
    <col min="5376" max="5376" width="7.109375" style="67" customWidth="1"/>
    <col min="5377" max="5377" width="13.44140625" style="67" customWidth="1"/>
    <col min="5378" max="5378" width="16.6640625" style="67" customWidth="1"/>
    <col min="5379" max="5379" width="5.109375" style="67" customWidth="1"/>
    <col min="5380" max="5380" width="16.44140625" style="67" customWidth="1"/>
    <col min="5381" max="5381" width="4.6640625" style="67" customWidth="1"/>
    <col min="5382" max="5382" width="9.44140625" style="67" customWidth="1"/>
    <col min="5383" max="5631" width="8.6640625" style="67"/>
    <col min="5632" max="5632" width="7.109375" style="67" customWidth="1"/>
    <col min="5633" max="5633" width="13.44140625" style="67" customWidth="1"/>
    <col min="5634" max="5634" width="16.6640625" style="67" customWidth="1"/>
    <col min="5635" max="5635" width="5.109375" style="67" customWidth="1"/>
    <col min="5636" max="5636" width="16.44140625" style="67" customWidth="1"/>
    <col min="5637" max="5637" width="4.6640625" style="67" customWidth="1"/>
    <col min="5638" max="5638" width="9.44140625" style="67" customWidth="1"/>
    <col min="5639" max="5887" width="8.6640625" style="67"/>
    <col min="5888" max="5888" width="7.109375" style="67" customWidth="1"/>
    <col min="5889" max="5889" width="13.44140625" style="67" customWidth="1"/>
    <col min="5890" max="5890" width="16.6640625" style="67" customWidth="1"/>
    <col min="5891" max="5891" width="5.109375" style="67" customWidth="1"/>
    <col min="5892" max="5892" width="16.44140625" style="67" customWidth="1"/>
    <col min="5893" max="5893" width="4.6640625" style="67" customWidth="1"/>
    <col min="5894" max="5894" width="9.44140625" style="67" customWidth="1"/>
    <col min="5895" max="6143" width="8.6640625" style="67"/>
    <col min="6144" max="6144" width="7.109375" style="67" customWidth="1"/>
    <col min="6145" max="6145" width="13.44140625" style="67" customWidth="1"/>
    <col min="6146" max="6146" width="16.6640625" style="67" customWidth="1"/>
    <col min="6147" max="6147" width="5.109375" style="67" customWidth="1"/>
    <col min="6148" max="6148" width="16.44140625" style="67" customWidth="1"/>
    <col min="6149" max="6149" width="4.6640625" style="67" customWidth="1"/>
    <col min="6150" max="6150" width="9.44140625" style="67" customWidth="1"/>
    <col min="6151" max="6399" width="8.6640625" style="67"/>
    <col min="6400" max="6400" width="7.109375" style="67" customWidth="1"/>
    <col min="6401" max="6401" width="13.44140625" style="67" customWidth="1"/>
    <col min="6402" max="6402" width="16.6640625" style="67" customWidth="1"/>
    <col min="6403" max="6403" width="5.109375" style="67" customWidth="1"/>
    <col min="6404" max="6404" width="16.44140625" style="67" customWidth="1"/>
    <col min="6405" max="6405" width="4.6640625" style="67" customWidth="1"/>
    <col min="6406" max="6406" width="9.44140625" style="67" customWidth="1"/>
    <col min="6407" max="6655" width="8.6640625" style="67"/>
    <col min="6656" max="6656" width="7.109375" style="67" customWidth="1"/>
    <col min="6657" max="6657" width="13.44140625" style="67" customWidth="1"/>
    <col min="6658" max="6658" width="16.6640625" style="67" customWidth="1"/>
    <col min="6659" max="6659" width="5.109375" style="67" customWidth="1"/>
    <col min="6660" max="6660" width="16.44140625" style="67" customWidth="1"/>
    <col min="6661" max="6661" width="4.6640625" style="67" customWidth="1"/>
    <col min="6662" max="6662" width="9.44140625" style="67" customWidth="1"/>
    <col min="6663" max="6911" width="8.6640625" style="67"/>
    <col min="6912" max="6912" width="7.109375" style="67" customWidth="1"/>
    <col min="6913" max="6913" width="13.44140625" style="67" customWidth="1"/>
    <col min="6914" max="6914" width="16.6640625" style="67" customWidth="1"/>
    <col min="6915" max="6915" width="5.109375" style="67" customWidth="1"/>
    <col min="6916" max="6916" width="16.44140625" style="67" customWidth="1"/>
    <col min="6917" max="6917" width="4.6640625" style="67" customWidth="1"/>
    <col min="6918" max="6918" width="9.44140625" style="67" customWidth="1"/>
    <col min="6919" max="7167" width="8.6640625" style="67"/>
    <col min="7168" max="7168" width="7.109375" style="67" customWidth="1"/>
    <col min="7169" max="7169" width="13.44140625" style="67" customWidth="1"/>
    <col min="7170" max="7170" width="16.6640625" style="67" customWidth="1"/>
    <col min="7171" max="7171" width="5.109375" style="67" customWidth="1"/>
    <col min="7172" max="7172" width="16.44140625" style="67" customWidth="1"/>
    <col min="7173" max="7173" width="4.6640625" style="67" customWidth="1"/>
    <col min="7174" max="7174" width="9.44140625" style="67" customWidth="1"/>
    <col min="7175" max="7423" width="8.6640625" style="67"/>
    <col min="7424" max="7424" width="7.109375" style="67" customWidth="1"/>
    <col min="7425" max="7425" width="13.44140625" style="67" customWidth="1"/>
    <col min="7426" max="7426" width="16.6640625" style="67" customWidth="1"/>
    <col min="7427" max="7427" width="5.109375" style="67" customWidth="1"/>
    <col min="7428" max="7428" width="16.44140625" style="67" customWidth="1"/>
    <col min="7429" max="7429" width="4.6640625" style="67" customWidth="1"/>
    <col min="7430" max="7430" width="9.44140625" style="67" customWidth="1"/>
    <col min="7431" max="7679" width="8.6640625" style="67"/>
    <col min="7680" max="7680" width="7.109375" style="67" customWidth="1"/>
    <col min="7681" max="7681" width="13.44140625" style="67" customWidth="1"/>
    <col min="7682" max="7682" width="16.6640625" style="67" customWidth="1"/>
    <col min="7683" max="7683" width="5.109375" style="67" customWidth="1"/>
    <col min="7684" max="7684" width="16.44140625" style="67" customWidth="1"/>
    <col min="7685" max="7685" width="4.6640625" style="67" customWidth="1"/>
    <col min="7686" max="7686" width="9.44140625" style="67" customWidth="1"/>
    <col min="7687" max="7935" width="8.6640625" style="67"/>
    <col min="7936" max="7936" width="7.109375" style="67" customWidth="1"/>
    <col min="7937" max="7937" width="13.44140625" style="67" customWidth="1"/>
    <col min="7938" max="7938" width="16.6640625" style="67" customWidth="1"/>
    <col min="7939" max="7939" width="5.109375" style="67" customWidth="1"/>
    <col min="7940" max="7940" width="16.44140625" style="67" customWidth="1"/>
    <col min="7941" max="7941" width="4.6640625" style="67" customWidth="1"/>
    <col min="7942" max="7942" width="9.44140625" style="67" customWidth="1"/>
    <col min="7943" max="8191" width="8.6640625" style="67"/>
    <col min="8192" max="8192" width="7.109375" style="67" customWidth="1"/>
    <col min="8193" max="8193" width="13.44140625" style="67" customWidth="1"/>
    <col min="8194" max="8194" width="16.6640625" style="67" customWidth="1"/>
    <col min="8195" max="8195" width="5.109375" style="67" customWidth="1"/>
    <col min="8196" max="8196" width="16.44140625" style="67" customWidth="1"/>
    <col min="8197" max="8197" width="4.6640625" style="67" customWidth="1"/>
    <col min="8198" max="8198" width="9.44140625" style="67" customWidth="1"/>
    <col min="8199" max="8447" width="8.6640625" style="67"/>
    <col min="8448" max="8448" width="7.109375" style="67" customWidth="1"/>
    <col min="8449" max="8449" width="13.44140625" style="67" customWidth="1"/>
    <col min="8450" max="8450" width="16.6640625" style="67" customWidth="1"/>
    <col min="8451" max="8451" width="5.109375" style="67" customWidth="1"/>
    <col min="8452" max="8452" width="16.44140625" style="67" customWidth="1"/>
    <col min="8453" max="8453" width="4.6640625" style="67" customWidth="1"/>
    <col min="8454" max="8454" width="9.44140625" style="67" customWidth="1"/>
    <col min="8455" max="8703" width="8.6640625" style="67"/>
    <col min="8704" max="8704" width="7.109375" style="67" customWidth="1"/>
    <col min="8705" max="8705" width="13.44140625" style="67" customWidth="1"/>
    <col min="8706" max="8706" width="16.6640625" style="67" customWidth="1"/>
    <col min="8707" max="8707" width="5.109375" style="67" customWidth="1"/>
    <col min="8708" max="8708" width="16.44140625" style="67" customWidth="1"/>
    <col min="8709" max="8709" width="4.6640625" style="67" customWidth="1"/>
    <col min="8710" max="8710" width="9.44140625" style="67" customWidth="1"/>
    <col min="8711" max="8959" width="8.6640625" style="67"/>
    <col min="8960" max="8960" width="7.109375" style="67" customWidth="1"/>
    <col min="8961" max="8961" width="13.44140625" style="67" customWidth="1"/>
    <col min="8962" max="8962" width="16.6640625" style="67" customWidth="1"/>
    <col min="8963" max="8963" width="5.109375" style="67" customWidth="1"/>
    <col min="8964" max="8964" width="16.44140625" style="67" customWidth="1"/>
    <col min="8965" max="8965" width="4.6640625" style="67" customWidth="1"/>
    <col min="8966" max="8966" width="9.44140625" style="67" customWidth="1"/>
    <col min="8967" max="9215" width="8.6640625" style="67"/>
    <col min="9216" max="9216" width="7.109375" style="67" customWidth="1"/>
    <col min="9217" max="9217" width="13.44140625" style="67" customWidth="1"/>
    <col min="9218" max="9218" width="16.6640625" style="67" customWidth="1"/>
    <col min="9219" max="9219" width="5.109375" style="67" customWidth="1"/>
    <col min="9220" max="9220" width="16.44140625" style="67" customWidth="1"/>
    <col min="9221" max="9221" width="4.6640625" style="67" customWidth="1"/>
    <col min="9222" max="9222" width="9.44140625" style="67" customWidth="1"/>
    <col min="9223" max="9471" width="8.6640625" style="67"/>
    <col min="9472" max="9472" width="7.109375" style="67" customWidth="1"/>
    <col min="9473" max="9473" width="13.44140625" style="67" customWidth="1"/>
    <col min="9474" max="9474" width="16.6640625" style="67" customWidth="1"/>
    <col min="9475" max="9475" width="5.109375" style="67" customWidth="1"/>
    <col min="9476" max="9476" width="16.44140625" style="67" customWidth="1"/>
    <col min="9477" max="9477" width="4.6640625" style="67" customWidth="1"/>
    <col min="9478" max="9478" width="9.44140625" style="67" customWidth="1"/>
    <col min="9479" max="9727" width="8.6640625" style="67"/>
    <col min="9728" max="9728" width="7.109375" style="67" customWidth="1"/>
    <col min="9729" max="9729" width="13.44140625" style="67" customWidth="1"/>
    <col min="9730" max="9730" width="16.6640625" style="67" customWidth="1"/>
    <col min="9731" max="9731" width="5.109375" style="67" customWidth="1"/>
    <col min="9732" max="9732" width="16.44140625" style="67" customWidth="1"/>
    <col min="9733" max="9733" width="4.6640625" style="67" customWidth="1"/>
    <col min="9734" max="9734" width="9.44140625" style="67" customWidth="1"/>
    <col min="9735" max="9983" width="8.6640625" style="67"/>
    <col min="9984" max="9984" width="7.109375" style="67" customWidth="1"/>
    <col min="9985" max="9985" width="13.44140625" style="67" customWidth="1"/>
    <col min="9986" max="9986" width="16.6640625" style="67" customWidth="1"/>
    <col min="9987" max="9987" width="5.109375" style="67" customWidth="1"/>
    <col min="9988" max="9988" width="16.44140625" style="67" customWidth="1"/>
    <col min="9989" max="9989" width="4.6640625" style="67" customWidth="1"/>
    <col min="9990" max="9990" width="9.44140625" style="67" customWidth="1"/>
    <col min="9991" max="10239" width="8.6640625" style="67"/>
    <col min="10240" max="10240" width="7.109375" style="67" customWidth="1"/>
    <col min="10241" max="10241" width="13.44140625" style="67" customWidth="1"/>
    <col min="10242" max="10242" width="16.6640625" style="67" customWidth="1"/>
    <col min="10243" max="10243" width="5.109375" style="67" customWidth="1"/>
    <col min="10244" max="10244" width="16.44140625" style="67" customWidth="1"/>
    <col min="10245" max="10245" width="4.6640625" style="67" customWidth="1"/>
    <col min="10246" max="10246" width="9.44140625" style="67" customWidth="1"/>
    <col min="10247" max="10495" width="8.6640625" style="67"/>
    <col min="10496" max="10496" width="7.109375" style="67" customWidth="1"/>
    <col min="10497" max="10497" width="13.44140625" style="67" customWidth="1"/>
    <col min="10498" max="10498" width="16.6640625" style="67" customWidth="1"/>
    <col min="10499" max="10499" width="5.109375" style="67" customWidth="1"/>
    <col min="10500" max="10500" width="16.44140625" style="67" customWidth="1"/>
    <col min="10501" max="10501" width="4.6640625" style="67" customWidth="1"/>
    <col min="10502" max="10502" width="9.44140625" style="67" customWidth="1"/>
    <col min="10503" max="10751" width="8.6640625" style="67"/>
    <col min="10752" max="10752" width="7.109375" style="67" customWidth="1"/>
    <col min="10753" max="10753" width="13.44140625" style="67" customWidth="1"/>
    <col min="10754" max="10754" width="16.6640625" style="67" customWidth="1"/>
    <col min="10755" max="10755" width="5.109375" style="67" customWidth="1"/>
    <col min="10756" max="10756" width="16.44140625" style="67" customWidth="1"/>
    <col min="10757" max="10757" width="4.6640625" style="67" customWidth="1"/>
    <col min="10758" max="10758" width="9.44140625" style="67" customWidth="1"/>
    <col min="10759" max="11007" width="8.6640625" style="67"/>
    <col min="11008" max="11008" width="7.109375" style="67" customWidth="1"/>
    <col min="11009" max="11009" width="13.44140625" style="67" customWidth="1"/>
    <col min="11010" max="11010" width="16.6640625" style="67" customWidth="1"/>
    <col min="11011" max="11011" width="5.109375" style="67" customWidth="1"/>
    <col min="11012" max="11012" width="16.44140625" style="67" customWidth="1"/>
    <col min="11013" max="11013" width="4.6640625" style="67" customWidth="1"/>
    <col min="11014" max="11014" width="9.44140625" style="67" customWidth="1"/>
    <col min="11015" max="11263" width="8.6640625" style="67"/>
    <col min="11264" max="11264" width="7.109375" style="67" customWidth="1"/>
    <col min="11265" max="11265" width="13.44140625" style="67" customWidth="1"/>
    <col min="11266" max="11266" width="16.6640625" style="67" customWidth="1"/>
    <col min="11267" max="11267" width="5.109375" style="67" customWidth="1"/>
    <col min="11268" max="11268" width="16.44140625" style="67" customWidth="1"/>
    <col min="11269" max="11269" width="4.6640625" style="67" customWidth="1"/>
    <col min="11270" max="11270" width="9.44140625" style="67" customWidth="1"/>
    <col min="11271" max="11519" width="8.6640625" style="67"/>
    <col min="11520" max="11520" width="7.109375" style="67" customWidth="1"/>
    <col min="11521" max="11521" width="13.44140625" style="67" customWidth="1"/>
    <col min="11522" max="11522" width="16.6640625" style="67" customWidth="1"/>
    <col min="11523" max="11523" width="5.109375" style="67" customWidth="1"/>
    <col min="11524" max="11524" width="16.44140625" style="67" customWidth="1"/>
    <col min="11525" max="11525" width="4.6640625" style="67" customWidth="1"/>
    <col min="11526" max="11526" width="9.44140625" style="67" customWidth="1"/>
    <col min="11527" max="11775" width="8.6640625" style="67"/>
    <col min="11776" max="11776" width="7.109375" style="67" customWidth="1"/>
    <col min="11777" max="11777" width="13.44140625" style="67" customWidth="1"/>
    <col min="11778" max="11778" width="16.6640625" style="67" customWidth="1"/>
    <col min="11779" max="11779" width="5.109375" style="67" customWidth="1"/>
    <col min="11780" max="11780" width="16.44140625" style="67" customWidth="1"/>
    <col min="11781" max="11781" width="4.6640625" style="67" customWidth="1"/>
    <col min="11782" max="11782" width="9.44140625" style="67" customWidth="1"/>
    <col min="11783" max="12031" width="8.6640625" style="67"/>
    <col min="12032" max="12032" width="7.109375" style="67" customWidth="1"/>
    <col min="12033" max="12033" width="13.44140625" style="67" customWidth="1"/>
    <col min="12034" max="12034" width="16.6640625" style="67" customWidth="1"/>
    <col min="12035" max="12035" width="5.109375" style="67" customWidth="1"/>
    <col min="12036" max="12036" width="16.44140625" style="67" customWidth="1"/>
    <col min="12037" max="12037" width="4.6640625" style="67" customWidth="1"/>
    <col min="12038" max="12038" width="9.44140625" style="67" customWidth="1"/>
    <col min="12039" max="12287" width="8.6640625" style="67"/>
    <col min="12288" max="12288" width="7.109375" style="67" customWidth="1"/>
    <col min="12289" max="12289" width="13.44140625" style="67" customWidth="1"/>
    <col min="12290" max="12290" width="16.6640625" style="67" customWidth="1"/>
    <col min="12291" max="12291" width="5.109375" style="67" customWidth="1"/>
    <col min="12292" max="12292" width="16.44140625" style="67" customWidth="1"/>
    <col min="12293" max="12293" width="4.6640625" style="67" customWidth="1"/>
    <col min="12294" max="12294" width="9.44140625" style="67" customWidth="1"/>
    <col min="12295" max="12543" width="8.6640625" style="67"/>
    <col min="12544" max="12544" width="7.109375" style="67" customWidth="1"/>
    <col min="12545" max="12545" width="13.44140625" style="67" customWidth="1"/>
    <col min="12546" max="12546" width="16.6640625" style="67" customWidth="1"/>
    <col min="12547" max="12547" width="5.109375" style="67" customWidth="1"/>
    <col min="12548" max="12548" width="16.44140625" style="67" customWidth="1"/>
    <col min="12549" max="12549" width="4.6640625" style="67" customWidth="1"/>
    <col min="12550" max="12550" width="9.44140625" style="67" customWidth="1"/>
    <col min="12551" max="12799" width="8.6640625" style="67"/>
    <col min="12800" max="12800" width="7.109375" style="67" customWidth="1"/>
    <col min="12801" max="12801" width="13.44140625" style="67" customWidth="1"/>
    <col min="12802" max="12802" width="16.6640625" style="67" customWidth="1"/>
    <col min="12803" max="12803" width="5.109375" style="67" customWidth="1"/>
    <col min="12804" max="12804" width="16.44140625" style="67" customWidth="1"/>
    <col min="12805" max="12805" width="4.6640625" style="67" customWidth="1"/>
    <col min="12806" max="12806" width="9.44140625" style="67" customWidth="1"/>
    <col min="12807" max="13055" width="8.6640625" style="67"/>
    <col min="13056" max="13056" width="7.109375" style="67" customWidth="1"/>
    <col min="13057" max="13057" width="13.44140625" style="67" customWidth="1"/>
    <col min="13058" max="13058" width="16.6640625" style="67" customWidth="1"/>
    <col min="13059" max="13059" width="5.109375" style="67" customWidth="1"/>
    <col min="13060" max="13060" width="16.44140625" style="67" customWidth="1"/>
    <col min="13061" max="13061" width="4.6640625" style="67" customWidth="1"/>
    <col min="13062" max="13062" width="9.44140625" style="67" customWidth="1"/>
    <col min="13063" max="13311" width="8.6640625" style="67"/>
    <col min="13312" max="13312" width="7.109375" style="67" customWidth="1"/>
    <col min="13313" max="13313" width="13.44140625" style="67" customWidth="1"/>
    <col min="13314" max="13314" width="16.6640625" style="67" customWidth="1"/>
    <col min="13315" max="13315" width="5.109375" style="67" customWidth="1"/>
    <col min="13316" max="13316" width="16.44140625" style="67" customWidth="1"/>
    <col min="13317" max="13317" width="4.6640625" style="67" customWidth="1"/>
    <col min="13318" max="13318" width="9.44140625" style="67" customWidth="1"/>
    <col min="13319" max="13567" width="8.6640625" style="67"/>
    <col min="13568" max="13568" width="7.109375" style="67" customWidth="1"/>
    <col min="13569" max="13569" width="13.44140625" style="67" customWidth="1"/>
    <col min="13570" max="13570" width="16.6640625" style="67" customWidth="1"/>
    <col min="13571" max="13571" width="5.109375" style="67" customWidth="1"/>
    <col min="13572" max="13572" width="16.44140625" style="67" customWidth="1"/>
    <col min="13573" max="13573" width="4.6640625" style="67" customWidth="1"/>
    <col min="13574" max="13574" width="9.44140625" style="67" customWidth="1"/>
    <col min="13575" max="13823" width="8.6640625" style="67"/>
    <col min="13824" max="13824" width="7.109375" style="67" customWidth="1"/>
    <col min="13825" max="13825" width="13.44140625" style="67" customWidth="1"/>
    <col min="13826" max="13826" width="16.6640625" style="67" customWidth="1"/>
    <col min="13827" max="13827" width="5.109375" style="67" customWidth="1"/>
    <col min="13828" max="13828" width="16.44140625" style="67" customWidth="1"/>
    <col min="13829" max="13829" width="4.6640625" style="67" customWidth="1"/>
    <col min="13830" max="13830" width="9.44140625" style="67" customWidth="1"/>
    <col min="13831" max="14079" width="8.6640625" style="67"/>
    <col min="14080" max="14080" width="7.109375" style="67" customWidth="1"/>
    <col min="14081" max="14081" width="13.44140625" style="67" customWidth="1"/>
    <col min="14082" max="14082" width="16.6640625" style="67" customWidth="1"/>
    <col min="14083" max="14083" width="5.109375" style="67" customWidth="1"/>
    <col min="14084" max="14084" width="16.44140625" style="67" customWidth="1"/>
    <col min="14085" max="14085" width="4.6640625" style="67" customWidth="1"/>
    <col min="14086" max="14086" width="9.44140625" style="67" customWidth="1"/>
    <col min="14087" max="14335" width="8.6640625" style="67"/>
    <col min="14336" max="14336" width="7.109375" style="67" customWidth="1"/>
    <col min="14337" max="14337" width="13.44140625" style="67" customWidth="1"/>
    <col min="14338" max="14338" width="16.6640625" style="67" customWidth="1"/>
    <col min="14339" max="14339" width="5.109375" style="67" customWidth="1"/>
    <col min="14340" max="14340" width="16.44140625" style="67" customWidth="1"/>
    <col min="14341" max="14341" width="4.6640625" style="67" customWidth="1"/>
    <col min="14342" max="14342" width="9.44140625" style="67" customWidth="1"/>
    <col min="14343" max="14591" width="8.6640625" style="67"/>
    <col min="14592" max="14592" width="7.109375" style="67" customWidth="1"/>
    <col min="14593" max="14593" width="13.44140625" style="67" customWidth="1"/>
    <col min="14594" max="14594" width="16.6640625" style="67" customWidth="1"/>
    <col min="14595" max="14595" width="5.109375" style="67" customWidth="1"/>
    <col min="14596" max="14596" width="16.44140625" style="67" customWidth="1"/>
    <col min="14597" max="14597" width="4.6640625" style="67" customWidth="1"/>
    <col min="14598" max="14598" width="9.44140625" style="67" customWidth="1"/>
    <col min="14599" max="14847" width="8.6640625" style="67"/>
    <col min="14848" max="14848" width="7.109375" style="67" customWidth="1"/>
    <col min="14849" max="14849" width="13.44140625" style="67" customWidth="1"/>
    <col min="14850" max="14850" width="16.6640625" style="67" customWidth="1"/>
    <col min="14851" max="14851" width="5.109375" style="67" customWidth="1"/>
    <col min="14852" max="14852" width="16.44140625" style="67" customWidth="1"/>
    <col min="14853" max="14853" width="4.6640625" style="67" customWidth="1"/>
    <col min="14854" max="14854" width="9.44140625" style="67" customWidth="1"/>
    <col min="14855" max="15103" width="8.6640625" style="67"/>
    <col min="15104" max="15104" width="7.109375" style="67" customWidth="1"/>
    <col min="15105" max="15105" width="13.44140625" style="67" customWidth="1"/>
    <col min="15106" max="15106" width="16.6640625" style="67" customWidth="1"/>
    <col min="15107" max="15107" width="5.109375" style="67" customWidth="1"/>
    <col min="15108" max="15108" width="16.44140625" style="67" customWidth="1"/>
    <col min="15109" max="15109" width="4.6640625" style="67" customWidth="1"/>
    <col min="15110" max="15110" width="9.44140625" style="67" customWidth="1"/>
    <col min="15111" max="15359" width="8.6640625" style="67"/>
    <col min="15360" max="15360" width="7.109375" style="67" customWidth="1"/>
    <col min="15361" max="15361" width="13.44140625" style="67" customWidth="1"/>
    <col min="15362" max="15362" width="16.6640625" style="67" customWidth="1"/>
    <col min="15363" max="15363" width="5.109375" style="67" customWidth="1"/>
    <col min="15364" max="15364" width="16.44140625" style="67" customWidth="1"/>
    <col min="15365" max="15365" width="4.6640625" style="67" customWidth="1"/>
    <col min="15366" max="15366" width="9.44140625" style="67" customWidth="1"/>
    <col min="15367" max="15615" width="8.6640625" style="67"/>
    <col min="15616" max="15616" width="7.109375" style="67" customWidth="1"/>
    <col min="15617" max="15617" width="13.44140625" style="67" customWidth="1"/>
    <col min="15618" max="15618" width="16.6640625" style="67" customWidth="1"/>
    <col min="15619" max="15619" width="5.109375" style="67" customWidth="1"/>
    <col min="15620" max="15620" width="16.44140625" style="67" customWidth="1"/>
    <col min="15621" max="15621" width="4.6640625" style="67" customWidth="1"/>
    <col min="15622" max="15622" width="9.44140625" style="67" customWidth="1"/>
    <col min="15623" max="15871" width="8.6640625" style="67"/>
    <col min="15872" max="15872" width="7.109375" style="67" customWidth="1"/>
    <col min="15873" max="15873" width="13.44140625" style="67" customWidth="1"/>
    <col min="15874" max="15874" width="16.6640625" style="67" customWidth="1"/>
    <col min="15875" max="15875" width="5.109375" style="67" customWidth="1"/>
    <col min="15876" max="15876" width="16.44140625" style="67" customWidth="1"/>
    <col min="15877" max="15877" width="4.6640625" style="67" customWidth="1"/>
    <col min="15878" max="15878" width="9.44140625" style="67" customWidth="1"/>
    <col min="15879" max="16127" width="8.6640625" style="67"/>
    <col min="16128" max="16128" width="7.109375" style="67" customWidth="1"/>
    <col min="16129" max="16129" width="13.44140625" style="67" customWidth="1"/>
    <col min="16130" max="16130" width="16.6640625" style="67" customWidth="1"/>
    <col min="16131" max="16131" width="5.109375" style="67" customWidth="1"/>
    <col min="16132" max="16132" width="16.44140625" style="67" customWidth="1"/>
    <col min="16133" max="16133" width="4.6640625" style="67" customWidth="1"/>
    <col min="16134" max="16134" width="9.44140625" style="67" customWidth="1"/>
    <col min="16135" max="16383" width="8.6640625" style="67"/>
    <col min="16384" max="16384" width="8.6640625" style="67" customWidth="1"/>
  </cols>
  <sheetData>
    <row r="1" spans="1:5" x14ac:dyDescent="0.3">
      <c r="A1" s="67" t="s">
        <v>716</v>
      </c>
      <c r="B1" s="67">
        <v>30000</v>
      </c>
    </row>
    <row r="2" spans="1:5" x14ac:dyDescent="0.3">
      <c r="A2" s="67" t="s">
        <v>717</v>
      </c>
      <c r="B2" s="67">
        <v>35000</v>
      </c>
    </row>
    <row r="3" spans="1:5" x14ac:dyDescent="0.3">
      <c r="A3" s="67" t="s">
        <v>734</v>
      </c>
      <c r="B3" s="67">
        <v>1.2</v>
      </c>
    </row>
    <row r="4" spans="1:5" x14ac:dyDescent="0.3">
      <c r="A4" s="67" t="s">
        <v>735</v>
      </c>
      <c r="B4" s="70">
        <v>0.67</v>
      </c>
    </row>
    <row r="5" spans="1:5" x14ac:dyDescent="0.3">
      <c r="A5" s="67" t="s">
        <v>718</v>
      </c>
      <c r="B5" s="68">
        <v>0.1</v>
      </c>
    </row>
    <row r="6" spans="1:5" x14ac:dyDescent="0.3">
      <c r="A6" s="67" t="s">
        <v>736</v>
      </c>
      <c r="B6" s="70">
        <f>((1+$B$5)-$B$4)/($B$3-$B$4)</f>
        <v>0.8113207547169814</v>
      </c>
      <c r="C6" s="94" t="s">
        <v>802</v>
      </c>
    </row>
    <row r="7" spans="1:5" x14ac:dyDescent="0.3">
      <c r="A7" s="67" t="s">
        <v>737</v>
      </c>
      <c r="B7" s="70">
        <f>1-$B$6</f>
        <v>0.1886792452830186</v>
      </c>
      <c r="C7" s="94" t="s">
        <v>803</v>
      </c>
    </row>
    <row r="9" spans="1:5" x14ac:dyDescent="0.3">
      <c r="A9" s="67" t="s">
        <v>738</v>
      </c>
      <c r="B9" s="67" t="s">
        <v>739</v>
      </c>
      <c r="D9" s="67">
        <f>$B$1*$B$3</f>
        <v>36000</v>
      </c>
      <c r="E9" s="94" t="s">
        <v>804</v>
      </c>
    </row>
    <row r="10" spans="1:5" x14ac:dyDescent="0.3">
      <c r="D10" s="67">
        <f>MAX(D9-$B$2,0)</f>
        <v>1000</v>
      </c>
      <c r="E10" s="94" t="s">
        <v>805</v>
      </c>
    </row>
    <row r="11" spans="1:5" x14ac:dyDescent="0.3">
      <c r="A11" s="67" t="s">
        <v>740</v>
      </c>
      <c r="B11" s="67">
        <f>$B$1</f>
        <v>30000</v>
      </c>
    </row>
    <row r="12" spans="1:5" x14ac:dyDescent="0.3">
      <c r="A12" s="67" t="s">
        <v>719</v>
      </c>
      <c r="B12" s="67">
        <f>(D10*$B$6+D13*$B$7)/(1+$B$5)</f>
        <v>737.56432246998304</v>
      </c>
      <c r="D12" s="67">
        <f>$B$1*$B$4</f>
        <v>20100</v>
      </c>
      <c r="E12" s="94" t="s">
        <v>806</v>
      </c>
    </row>
    <row r="13" spans="1:5" x14ac:dyDescent="0.3">
      <c r="B13" s="94" t="s">
        <v>810</v>
      </c>
      <c r="D13" s="67">
        <f>MAX(D12-$B$2,0)</f>
        <v>0</v>
      </c>
      <c r="E13" s="94" t="s">
        <v>807</v>
      </c>
    </row>
    <row r="17" spans="1:7" x14ac:dyDescent="0.3">
      <c r="A17" s="67" t="s">
        <v>741</v>
      </c>
      <c r="B17" s="67" t="s">
        <v>742</v>
      </c>
      <c r="F17" s="67">
        <f>$B$1*$B$3*$B$3</f>
        <v>43200</v>
      </c>
      <c r="G17" s="94" t="s">
        <v>808</v>
      </c>
    </row>
    <row r="18" spans="1:7" x14ac:dyDescent="0.3">
      <c r="F18" s="67">
        <f>MAX(F17-$B$2,0)</f>
        <v>8200</v>
      </c>
      <c r="G18" s="94" t="s">
        <v>809</v>
      </c>
    </row>
    <row r="20" spans="1:7" x14ac:dyDescent="0.3">
      <c r="D20" s="67">
        <f>$B$1*$B$3</f>
        <v>36000</v>
      </c>
      <c r="F20" s="67">
        <f>$B$1*$B$3*$B$4</f>
        <v>24120</v>
      </c>
    </row>
    <row r="21" spans="1:7" x14ac:dyDescent="0.3">
      <c r="A21" s="67" t="s">
        <v>740</v>
      </c>
      <c r="B21" s="67">
        <f>$B$1</f>
        <v>30000</v>
      </c>
      <c r="D21" s="67">
        <f>(F18*$B$6+F21*$B$7)/(1+$B$5/2)</f>
        <v>6336.0287511230927</v>
      </c>
      <c r="F21" s="67">
        <f>MAX(F20-$B$2,0)</f>
        <v>0</v>
      </c>
    </row>
    <row r="22" spans="1:7" x14ac:dyDescent="0.3">
      <c r="A22" s="67" t="s">
        <v>719</v>
      </c>
      <c r="B22" s="67">
        <f>(D21*$B$6+D24*$B$7)/(1+$B$5/2)</f>
        <v>4895.7634554949336</v>
      </c>
      <c r="D22" s="94" t="s">
        <v>812</v>
      </c>
    </row>
    <row r="23" spans="1:7" x14ac:dyDescent="0.3">
      <c r="B23" s="94" t="s">
        <v>811</v>
      </c>
      <c r="D23" s="67">
        <f>$B$1*$B$4</f>
        <v>20100</v>
      </c>
      <c r="F23" s="67">
        <f>$B$1*$B$4*$B$3</f>
        <v>24120</v>
      </c>
    </row>
    <row r="24" spans="1:7" x14ac:dyDescent="0.3">
      <c r="D24" s="67">
        <f>(F21*$B$6+F24*$B$7)/(1+$B$5/2)</f>
        <v>0</v>
      </c>
      <c r="F24" s="67">
        <f>MAX(F23-$B$2,0)</f>
        <v>0</v>
      </c>
    </row>
    <row r="26" spans="1:7" x14ac:dyDescent="0.3">
      <c r="F26" s="67">
        <f>$B$1*$B$4*$B$4</f>
        <v>13467</v>
      </c>
    </row>
    <row r="27" spans="1:7" x14ac:dyDescent="0.3">
      <c r="F27" s="67">
        <f>MAX(F26-$B$2,0)</f>
        <v>0</v>
      </c>
    </row>
    <row r="29" spans="1:7" x14ac:dyDescent="0.3">
      <c r="B29" s="67">
        <f>(B6^2*F18+B6*B7*F21+B7*B6*F24+B7^2*F27)/(1+B5/2)^2</f>
        <v>4895.7634554949336</v>
      </c>
      <c r="C29" s="94" t="s">
        <v>813</v>
      </c>
    </row>
  </sheetData>
  <phoneticPr fontId="1" type="noConversion"/>
  <pageMargins left="0.75" right="0.75" top="1" bottom="1" header="0.5" footer="0.5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E3CE2-3DEE-4442-B8BB-675D9FC7367F}">
  <dimension ref="A1:K35"/>
  <sheetViews>
    <sheetView zoomScaleNormal="100" workbookViewId="0"/>
  </sheetViews>
  <sheetFormatPr defaultRowHeight="13.2" x14ac:dyDescent="0.3"/>
  <cols>
    <col min="1" max="1" width="15.6640625" style="67" customWidth="1"/>
    <col min="2" max="2" width="10.88671875" style="67" customWidth="1"/>
    <col min="3" max="3" width="47.5546875" style="67" customWidth="1"/>
    <col min="4" max="4" width="3.44140625" style="67" customWidth="1"/>
    <col min="5" max="11" width="11.33203125" style="67" customWidth="1"/>
    <col min="12" max="12" width="3.109375" style="67" customWidth="1"/>
    <col min="13" max="255" width="8.6640625" style="67"/>
    <col min="256" max="256" width="4.6640625" style="67" customWidth="1"/>
    <col min="257" max="257" width="15.6640625" style="67" customWidth="1"/>
    <col min="258" max="258" width="10.88671875" style="67" customWidth="1"/>
    <col min="259" max="259" width="47.5546875" style="67" customWidth="1"/>
    <col min="260" max="260" width="5" style="67" customWidth="1"/>
    <col min="261" max="267" width="11.33203125" style="67" customWidth="1"/>
    <col min="268" max="268" width="3.109375" style="67" customWidth="1"/>
    <col min="269" max="511" width="8.6640625" style="67"/>
    <col min="512" max="512" width="4.6640625" style="67" customWidth="1"/>
    <col min="513" max="513" width="15.6640625" style="67" customWidth="1"/>
    <col min="514" max="514" width="10.88671875" style="67" customWidth="1"/>
    <col min="515" max="515" width="47.5546875" style="67" customWidth="1"/>
    <col min="516" max="516" width="5" style="67" customWidth="1"/>
    <col min="517" max="523" width="11.33203125" style="67" customWidth="1"/>
    <col min="524" max="524" width="3.109375" style="67" customWidth="1"/>
    <col min="525" max="767" width="8.6640625" style="67"/>
    <col min="768" max="768" width="4.6640625" style="67" customWidth="1"/>
    <col min="769" max="769" width="15.6640625" style="67" customWidth="1"/>
    <col min="770" max="770" width="10.88671875" style="67" customWidth="1"/>
    <col min="771" max="771" width="47.5546875" style="67" customWidth="1"/>
    <col min="772" max="772" width="5" style="67" customWidth="1"/>
    <col min="773" max="779" width="11.33203125" style="67" customWidth="1"/>
    <col min="780" max="780" width="3.109375" style="67" customWidth="1"/>
    <col min="781" max="1023" width="8.6640625" style="67"/>
    <col min="1024" max="1024" width="4.6640625" style="67" customWidth="1"/>
    <col min="1025" max="1025" width="15.6640625" style="67" customWidth="1"/>
    <col min="1026" max="1026" width="10.88671875" style="67" customWidth="1"/>
    <col min="1027" max="1027" width="47.5546875" style="67" customWidth="1"/>
    <col min="1028" max="1028" width="5" style="67" customWidth="1"/>
    <col min="1029" max="1035" width="11.33203125" style="67" customWidth="1"/>
    <col min="1036" max="1036" width="3.109375" style="67" customWidth="1"/>
    <col min="1037" max="1279" width="8.6640625" style="67"/>
    <col min="1280" max="1280" width="4.6640625" style="67" customWidth="1"/>
    <col min="1281" max="1281" width="15.6640625" style="67" customWidth="1"/>
    <col min="1282" max="1282" width="10.88671875" style="67" customWidth="1"/>
    <col min="1283" max="1283" width="47.5546875" style="67" customWidth="1"/>
    <col min="1284" max="1284" width="5" style="67" customWidth="1"/>
    <col min="1285" max="1291" width="11.33203125" style="67" customWidth="1"/>
    <col min="1292" max="1292" width="3.109375" style="67" customWidth="1"/>
    <col min="1293" max="1535" width="8.6640625" style="67"/>
    <col min="1536" max="1536" width="4.6640625" style="67" customWidth="1"/>
    <col min="1537" max="1537" width="15.6640625" style="67" customWidth="1"/>
    <col min="1538" max="1538" width="10.88671875" style="67" customWidth="1"/>
    <col min="1539" max="1539" width="47.5546875" style="67" customWidth="1"/>
    <col min="1540" max="1540" width="5" style="67" customWidth="1"/>
    <col min="1541" max="1547" width="11.33203125" style="67" customWidth="1"/>
    <col min="1548" max="1548" width="3.109375" style="67" customWidth="1"/>
    <col min="1549" max="1791" width="8.6640625" style="67"/>
    <col min="1792" max="1792" width="4.6640625" style="67" customWidth="1"/>
    <col min="1793" max="1793" width="15.6640625" style="67" customWidth="1"/>
    <col min="1794" max="1794" width="10.88671875" style="67" customWidth="1"/>
    <col min="1795" max="1795" width="47.5546875" style="67" customWidth="1"/>
    <col min="1796" max="1796" width="5" style="67" customWidth="1"/>
    <col min="1797" max="1803" width="11.33203125" style="67" customWidth="1"/>
    <col min="1804" max="1804" width="3.109375" style="67" customWidth="1"/>
    <col min="1805" max="2047" width="8.6640625" style="67"/>
    <col min="2048" max="2048" width="4.6640625" style="67" customWidth="1"/>
    <col min="2049" max="2049" width="15.6640625" style="67" customWidth="1"/>
    <col min="2050" max="2050" width="10.88671875" style="67" customWidth="1"/>
    <col min="2051" max="2051" width="47.5546875" style="67" customWidth="1"/>
    <col min="2052" max="2052" width="5" style="67" customWidth="1"/>
    <col min="2053" max="2059" width="11.33203125" style="67" customWidth="1"/>
    <col min="2060" max="2060" width="3.109375" style="67" customWidth="1"/>
    <col min="2061" max="2303" width="8.6640625" style="67"/>
    <col min="2304" max="2304" width="4.6640625" style="67" customWidth="1"/>
    <col min="2305" max="2305" width="15.6640625" style="67" customWidth="1"/>
    <col min="2306" max="2306" width="10.88671875" style="67" customWidth="1"/>
    <col min="2307" max="2307" width="47.5546875" style="67" customWidth="1"/>
    <col min="2308" max="2308" width="5" style="67" customWidth="1"/>
    <col min="2309" max="2315" width="11.33203125" style="67" customWidth="1"/>
    <col min="2316" max="2316" width="3.109375" style="67" customWidth="1"/>
    <col min="2317" max="2559" width="8.6640625" style="67"/>
    <col min="2560" max="2560" width="4.6640625" style="67" customWidth="1"/>
    <col min="2561" max="2561" width="15.6640625" style="67" customWidth="1"/>
    <col min="2562" max="2562" width="10.88671875" style="67" customWidth="1"/>
    <col min="2563" max="2563" width="47.5546875" style="67" customWidth="1"/>
    <col min="2564" max="2564" width="5" style="67" customWidth="1"/>
    <col min="2565" max="2571" width="11.33203125" style="67" customWidth="1"/>
    <col min="2572" max="2572" width="3.109375" style="67" customWidth="1"/>
    <col min="2573" max="2815" width="8.6640625" style="67"/>
    <col min="2816" max="2816" width="4.6640625" style="67" customWidth="1"/>
    <col min="2817" max="2817" width="15.6640625" style="67" customWidth="1"/>
    <col min="2818" max="2818" width="10.88671875" style="67" customWidth="1"/>
    <col min="2819" max="2819" width="47.5546875" style="67" customWidth="1"/>
    <col min="2820" max="2820" width="5" style="67" customWidth="1"/>
    <col min="2821" max="2827" width="11.33203125" style="67" customWidth="1"/>
    <col min="2828" max="2828" width="3.109375" style="67" customWidth="1"/>
    <col min="2829" max="3071" width="8.6640625" style="67"/>
    <col min="3072" max="3072" width="4.6640625" style="67" customWidth="1"/>
    <col min="3073" max="3073" width="15.6640625" style="67" customWidth="1"/>
    <col min="3074" max="3074" width="10.88671875" style="67" customWidth="1"/>
    <col min="3075" max="3075" width="47.5546875" style="67" customWidth="1"/>
    <col min="3076" max="3076" width="5" style="67" customWidth="1"/>
    <col min="3077" max="3083" width="11.33203125" style="67" customWidth="1"/>
    <col min="3084" max="3084" width="3.109375" style="67" customWidth="1"/>
    <col min="3085" max="3327" width="8.6640625" style="67"/>
    <col min="3328" max="3328" width="4.6640625" style="67" customWidth="1"/>
    <col min="3329" max="3329" width="15.6640625" style="67" customWidth="1"/>
    <col min="3330" max="3330" width="10.88671875" style="67" customWidth="1"/>
    <col min="3331" max="3331" width="47.5546875" style="67" customWidth="1"/>
    <col min="3332" max="3332" width="5" style="67" customWidth="1"/>
    <col min="3333" max="3339" width="11.33203125" style="67" customWidth="1"/>
    <col min="3340" max="3340" width="3.109375" style="67" customWidth="1"/>
    <col min="3341" max="3583" width="8.6640625" style="67"/>
    <col min="3584" max="3584" width="4.6640625" style="67" customWidth="1"/>
    <col min="3585" max="3585" width="15.6640625" style="67" customWidth="1"/>
    <col min="3586" max="3586" width="10.88671875" style="67" customWidth="1"/>
    <col min="3587" max="3587" width="47.5546875" style="67" customWidth="1"/>
    <col min="3588" max="3588" width="5" style="67" customWidth="1"/>
    <col min="3589" max="3595" width="11.33203125" style="67" customWidth="1"/>
    <col min="3596" max="3596" width="3.109375" style="67" customWidth="1"/>
    <col min="3597" max="3839" width="8.6640625" style="67"/>
    <col min="3840" max="3840" width="4.6640625" style="67" customWidth="1"/>
    <col min="3841" max="3841" width="15.6640625" style="67" customWidth="1"/>
    <col min="3842" max="3842" width="10.88671875" style="67" customWidth="1"/>
    <col min="3843" max="3843" width="47.5546875" style="67" customWidth="1"/>
    <col min="3844" max="3844" width="5" style="67" customWidth="1"/>
    <col min="3845" max="3851" width="11.33203125" style="67" customWidth="1"/>
    <col min="3852" max="3852" width="3.109375" style="67" customWidth="1"/>
    <col min="3853" max="4095" width="8.6640625" style="67"/>
    <col min="4096" max="4096" width="4.6640625" style="67" customWidth="1"/>
    <col min="4097" max="4097" width="15.6640625" style="67" customWidth="1"/>
    <col min="4098" max="4098" width="10.88671875" style="67" customWidth="1"/>
    <col min="4099" max="4099" width="47.5546875" style="67" customWidth="1"/>
    <col min="4100" max="4100" width="5" style="67" customWidth="1"/>
    <col min="4101" max="4107" width="11.33203125" style="67" customWidth="1"/>
    <col min="4108" max="4108" width="3.109375" style="67" customWidth="1"/>
    <col min="4109" max="4351" width="8.6640625" style="67"/>
    <col min="4352" max="4352" width="4.6640625" style="67" customWidth="1"/>
    <col min="4353" max="4353" width="15.6640625" style="67" customWidth="1"/>
    <col min="4354" max="4354" width="10.88671875" style="67" customWidth="1"/>
    <col min="4355" max="4355" width="47.5546875" style="67" customWidth="1"/>
    <col min="4356" max="4356" width="5" style="67" customWidth="1"/>
    <col min="4357" max="4363" width="11.33203125" style="67" customWidth="1"/>
    <col min="4364" max="4364" width="3.109375" style="67" customWidth="1"/>
    <col min="4365" max="4607" width="8.6640625" style="67"/>
    <col min="4608" max="4608" width="4.6640625" style="67" customWidth="1"/>
    <col min="4609" max="4609" width="15.6640625" style="67" customWidth="1"/>
    <col min="4610" max="4610" width="10.88671875" style="67" customWidth="1"/>
    <col min="4611" max="4611" width="47.5546875" style="67" customWidth="1"/>
    <col min="4612" max="4612" width="5" style="67" customWidth="1"/>
    <col min="4613" max="4619" width="11.33203125" style="67" customWidth="1"/>
    <col min="4620" max="4620" width="3.109375" style="67" customWidth="1"/>
    <col min="4621" max="4863" width="8.6640625" style="67"/>
    <col min="4864" max="4864" width="4.6640625" style="67" customWidth="1"/>
    <col min="4865" max="4865" width="15.6640625" style="67" customWidth="1"/>
    <col min="4866" max="4866" width="10.88671875" style="67" customWidth="1"/>
    <col min="4867" max="4867" width="47.5546875" style="67" customWidth="1"/>
    <col min="4868" max="4868" width="5" style="67" customWidth="1"/>
    <col min="4869" max="4875" width="11.33203125" style="67" customWidth="1"/>
    <col min="4876" max="4876" width="3.109375" style="67" customWidth="1"/>
    <col min="4877" max="5119" width="8.6640625" style="67"/>
    <col min="5120" max="5120" width="4.6640625" style="67" customWidth="1"/>
    <col min="5121" max="5121" width="15.6640625" style="67" customWidth="1"/>
    <col min="5122" max="5122" width="10.88671875" style="67" customWidth="1"/>
    <col min="5123" max="5123" width="47.5546875" style="67" customWidth="1"/>
    <col min="5124" max="5124" width="5" style="67" customWidth="1"/>
    <col min="5125" max="5131" width="11.33203125" style="67" customWidth="1"/>
    <col min="5132" max="5132" width="3.109375" style="67" customWidth="1"/>
    <col min="5133" max="5375" width="8.6640625" style="67"/>
    <col min="5376" max="5376" width="4.6640625" style="67" customWidth="1"/>
    <col min="5377" max="5377" width="15.6640625" style="67" customWidth="1"/>
    <col min="5378" max="5378" width="10.88671875" style="67" customWidth="1"/>
    <col min="5379" max="5379" width="47.5546875" style="67" customWidth="1"/>
    <col min="5380" max="5380" width="5" style="67" customWidth="1"/>
    <col min="5381" max="5387" width="11.33203125" style="67" customWidth="1"/>
    <col min="5388" max="5388" width="3.109375" style="67" customWidth="1"/>
    <col min="5389" max="5631" width="8.6640625" style="67"/>
    <col min="5632" max="5632" width="4.6640625" style="67" customWidth="1"/>
    <col min="5633" max="5633" width="15.6640625" style="67" customWidth="1"/>
    <col min="5634" max="5634" width="10.88671875" style="67" customWidth="1"/>
    <col min="5635" max="5635" width="47.5546875" style="67" customWidth="1"/>
    <col min="5636" max="5636" width="5" style="67" customWidth="1"/>
    <col min="5637" max="5643" width="11.33203125" style="67" customWidth="1"/>
    <col min="5644" max="5644" width="3.109375" style="67" customWidth="1"/>
    <col min="5645" max="5887" width="8.6640625" style="67"/>
    <col min="5888" max="5888" width="4.6640625" style="67" customWidth="1"/>
    <col min="5889" max="5889" width="15.6640625" style="67" customWidth="1"/>
    <col min="5890" max="5890" width="10.88671875" style="67" customWidth="1"/>
    <col min="5891" max="5891" width="47.5546875" style="67" customWidth="1"/>
    <col min="5892" max="5892" width="5" style="67" customWidth="1"/>
    <col min="5893" max="5899" width="11.33203125" style="67" customWidth="1"/>
    <col min="5900" max="5900" width="3.109375" style="67" customWidth="1"/>
    <col min="5901" max="6143" width="8.6640625" style="67"/>
    <col min="6144" max="6144" width="4.6640625" style="67" customWidth="1"/>
    <col min="6145" max="6145" width="15.6640625" style="67" customWidth="1"/>
    <col min="6146" max="6146" width="10.88671875" style="67" customWidth="1"/>
    <col min="6147" max="6147" width="47.5546875" style="67" customWidth="1"/>
    <col min="6148" max="6148" width="5" style="67" customWidth="1"/>
    <col min="6149" max="6155" width="11.33203125" style="67" customWidth="1"/>
    <col min="6156" max="6156" width="3.109375" style="67" customWidth="1"/>
    <col min="6157" max="6399" width="8.6640625" style="67"/>
    <col min="6400" max="6400" width="4.6640625" style="67" customWidth="1"/>
    <col min="6401" max="6401" width="15.6640625" style="67" customWidth="1"/>
    <col min="6402" max="6402" width="10.88671875" style="67" customWidth="1"/>
    <col min="6403" max="6403" width="47.5546875" style="67" customWidth="1"/>
    <col min="6404" max="6404" width="5" style="67" customWidth="1"/>
    <col min="6405" max="6411" width="11.33203125" style="67" customWidth="1"/>
    <col min="6412" max="6412" width="3.109375" style="67" customWidth="1"/>
    <col min="6413" max="6655" width="8.6640625" style="67"/>
    <col min="6656" max="6656" width="4.6640625" style="67" customWidth="1"/>
    <col min="6657" max="6657" width="15.6640625" style="67" customWidth="1"/>
    <col min="6658" max="6658" width="10.88671875" style="67" customWidth="1"/>
    <col min="6659" max="6659" width="47.5546875" style="67" customWidth="1"/>
    <col min="6660" max="6660" width="5" style="67" customWidth="1"/>
    <col min="6661" max="6667" width="11.33203125" style="67" customWidth="1"/>
    <col min="6668" max="6668" width="3.109375" style="67" customWidth="1"/>
    <col min="6669" max="6911" width="8.6640625" style="67"/>
    <col min="6912" max="6912" width="4.6640625" style="67" customWidth="1"/>
    <col min="6913" max="6913" width="15.6640625" style="67" customWidth="1"/>
    <col min="6914" max="6914" width="10.88671875" style="67" customWidth="1"/>
    <col min="6915" max="6915" width="47.5546875" style="67" customWidth="1"/>
    <col min="6916" max="6916" width="5" style="67" customWidth="1"/>
    <col min="6917" max="6923" width="11.33203125" style="67" customWidth="1"/>
    <col min="6924" max="6924" width="3.109375" style="67" customWidth="1"/>
    <col min="6925" max="7167" width="8.6640625" style="67"/>
    <col min="7168" max="7168" width="4.6640625" style="67" customWidth="1"/>
    <col min="7169" max="7169" width="15.6640625" style="67" customWidth="1"/>
    <col min="7170" max="7170" width="10.88671875" style="67" customWidth="1"/>
    <col min="7171" max="7171" width="47.5546875" style="67" customWidth="1"/>
    <col min="7172" max="7172" width="5" style="67" customWidth="1"/>
    <col min="7173" max="7179" width="11.33203125" style="67" customWidth="1"/>
    <col min="7180" max="7180" width="3.109375" style="67" customWidth="1"/>
    <col min="7181" max="7423" width="8.6640625" style="67"/>
    <col min="7424" max="7424" width="4.6640625" style="67" customWidth="1"/>
    <col min="7425" max="7425" width="15.6640625" style="67" customWidth="1"/>
    <col min="7426" max="7426" width="10.88671875" style="67" customWidth="1"/>
    <col min="7427" max="7427" width="47.5546875" style="67" customWidth="1"/>
    <col min="7428" max="7428" width="5" style="67" customWidth="1"/>
    <col min="7429" max="7435" width="11.33203125" style="67" customWidth="1"/>
    <col min="7436" max="7436" width="3.109375" style="67" customWidth="1"/>
    <col min="7437" max="7679" width="8.6640625" style="67"/>
    <col min="7680" max="7680" width="4.6640625" style="67" customWidth="1"/>
    <col min="7681" max="7681" width="15.6640625" style="67" customWidth="1"/>
    <col min="7682" max="7682" width="10.88671875" style="67" customWidth="1"/>
    <col min="7683" max="7683" width="47.5546875" style="67" customWidth="1"/>
    <col min="7684" max="7684" width="5" style="67" customWidth="1"/>
    <col min="7685" max="7691" width="11.33203125" style="67" customWidth="1"/>
    <col min="7692" max="7692" width="3.109375" style="67" customWidth="1"/>
    <col min="7693" max="7935" width="8.6640625" style="67"/>
    <col min="7936" max="7936" width="4.6640625" style="67" customWidth="1"/>
    <col min="7937" max="7937" width="15.6640625" style="67" customWidth="1"/>
    <col min="7938" max="7938" width="10.88671875" style="67" customWidth="1"/>
    <col min="7939" max="7939" width="47.5546875" style="67" customWidth="1"/>
    <col min="7940" max="7940" width="5" style="67" customWidth="1"/>
    <col min="7941" max="7947" width="11.33203125" style="67" customWidth="1"/>
    <col min="7948" max="7948" width="3.109375" style="67" customWidth="1"/>
    <col min="7949" max="8191" width="8.6640625" style="67"/>
    <col min="8192" max="8192" width="4.6640625" style="67" customWidth="1"/>
    <col min="8193" max="8193" width="15.6640625" style="67" customWidth="1"/>
    <col min="8194" max="8194" width="10.88671875" style="67" customWidth="1"/>
    <col min="8195" max="8195" width="47.5546875" style="67" customWidth="1"/>
    <col min="8196" max="8196" width="5" style="67" customWidth="1"/>
    <col min="8197" max="8203" width="11.33203125" style="67" customWidth="1"/>
    <col min="8204" max="8204" width="3.109375" style="67" customWidth="1"/>
    <col min="8205" max="8447" width="8.6640625" style="67"/>
    <col min="8448" max="8448" width="4.6640625" style="67" customWidth="1"/>
    <col min="8449" max="8449" width="15.6640625" style="67" customWidth="1"/>
    <col min="8450" max="8450" width="10.88671875" style="67" customWidth="1"/>
    <col min="8451" max="8451" width="47.5546875" style="67" customWidth="1"/>
    <col min="8452" max="8452" width="5" style="67" customWidth="1"/>
    <col min="8453" max="8459" width="11.33203125" style="67" customWidth="1"/>
    <col min="8460" max="8460" width="3.109375" style="67" customWidth="1"/>
    <col min="8461" max="8703" width="8.6640625" style="67"/>
    <col min="8704" max="8704" width="4.6640625" style="67" customWidth="1"/>
    <col min="8705" max="8705" width="15.6640625" style="67" customWidth="1"/>
    <col min="8706" max="8706" width="10.88671875" style="67" customWidth="1"/>
    <col min="8707" max="8707" width="47.5546875" style="67" customWidth="1"/>
    <col min="8708" max="8708" width="5" style="67" customWidth="1"/>
    <col min="8709" max="8715" width="11.33203125" style="67" customWidth="1"/>
    <col min="8716" max="8716" width="3.109375" style="67" customWidth="1"/>
    <col min="8717" max="8959" width="8.6640625" style="67"/>
    <col min="8960" max="8960" width="4.6640625" style="67" customWidth="1"/>
    <col min="8961" max="8961" width="15.6640625" style="67" customWidth="1"/>
    <col min="8962" max="8962" width="10.88671875" style="67" customWidth="1"/>
    <col min="8963" max="8963" width="47.5546875" style="67" customWidth="1"/>
    <col min="8964" max="8964" width="5" style="67" customWidth="1"/>
    <col min="8965" max="8971" width="11.33203125" style="67" customWidth="1"/>
    <col min="8972" max="8972" width="3.109375" style="67" customWidth="1"/>
    <col min="8973" max="9215" width="8.6640625" style="67"/>
    <col min="9216" max="9216" width="4.6640625" style="67" customWidth="1"/>
    <col min="9217" max="9217" width="15.6640625" style="67" customWidth="1"/>
    <col min="9218" max="9218" width="10.88671875" style="67" customWidth="1"/>
    <col min="9219" max="9219" width="47.5546875" style="67" customWidth="1"/>
    <col min="9220" max="9220" width="5" style="67" customWidth="1"/>
    <col min="9221" max="9227" width="11.33203125" style="67" customWidth="1"/>
    <col min="9228" max="9228" width="3.109375" style="67" customWidth="1"/>
    <col min="9229" max="9471" width="8.6640625" style="67"/>
    <col min="9472" max="9472" width="4.6640625" style="67" customWidth="1"/>
    <col min="9473" max="9473" width="15.6640625" style="67" customWidth="1"/>
    <col min="9474" max="9474" width="10.88671875" style="67" customWidth="1"/>
    <col min="9475" max="9475" width="47.5546875" style="67" customWidth="1"/>
    <col min="9476" max="9476" width="5" style="67" customWidth="1"/>
    <col min="9477" max="9483" width="11.33203125" style="67" customWidth="1"/>
    <col min="9484" max="9484" width="3.109375" style="67" customWidth="1"/>
    <col min="9485" max="9727" width="8.6640625" style="67"/>
    <col min="9728" max="9728" width="4.6640625" style="67" customWidth="1"/>
    <col min="9729" max="9729" width="15.6640625" style="67" customWidth="1"/>
    <col min="9730" max="9730" width="10.88671875" style="67" customWidth="1"/>
    <col min="9731" max="9731" width="47.5546875" style="67" customWidth="1"/>
    <col min="9732" max="9732" width="5" style="67" customWidth="1"/>
    <col min="9733" max="9739" width="11.33203125" style="67" customWidth="1"/>
    <col min="9740" max="9740" width="3.109375" style="67" customWidth="1"/>
    <col min="9741" max="9983" width="8.6640625" style="67"/>
    <col min="9984" max="9984" width="4.6640625" style="67" customWidth="1"/>
    <col min="9985" max="9985" width="15.6640625" style="67" customWidth="1"/>
    <col min="9986" max="9986" width="10.88671875" style="67" customWidth="1"/>
    <col min="9987" max="9987" width="47.5546875" style="67" customWidth="1"/>
    <col min="9988" max="9988" width="5" style="67" customWidth="1"/>
    <col min="9989" max="9995" width="11.33203125" style="67" customWidth="1"/>
    <col min="9996" max="9996" width="3.109375" style="67" customWidth="1"/>
    <col min="9997" max="10239" width="8.6640625" style="67"/>
    <col min="10240" max="10240" width="4.6640625" style="67" customWidth="1"/>
    <col min="10241" max="10241" width="15.6640625" style="67" customWidth="1"/>
    <col min="10242" max="10242" width="10.88671875" style="67" customWidth="1"/>
    <col min="10243" max="10243" width="47.5546875" style="67" customWidth="1"/>
    <col min="10244" max="10244" width="5" style="67" customWidth="1"/>
    <col min="10245" max="10251" width="11.33203125" style="67" customWidth="1"/>
    <col min="10252" max="10252" width="3.109375" style="67" customWidth="1"/>
    <col min="10253" max="10495" width="8.6640625" style="67"/>
    <col min="10496" max="10496" width="4.6640625" style="67" customWidth="1"/>
    <col min="10497" max="10497" width="15.6640625" style="67" customWidth="1"/>
    <col min="10498" max="10498" width="10.88671875" style="67" customWidth="1"/>
    <col min="10499" max="10499" width="47.5546875" style="67" customWidth="1"/>
    <col min="10500" max="10500" width="5" style="67" customWidth="1"/>
    <col min="10501" max="10507" width="11.33203125" style="67" customWidth="1"/>
    <col min="10508" max="10508" width="3.109375" style="67" customWidth="1"/>
    <col min="10509" max="10751" width="8.6640625" style="67"/>
    <col min="10752" max="10752" width="4.6640625" style="67" customWidth="1"/>
    <col min="10753" max="10753" width="15.6640625" style="67" customWidth="1"/>
    <col min="10754" max="10754" width="10.88671875" style="67" customWidth="1"/>
    <col min="10755" max="10755" width="47.5546875" style="67" customWidth="1"/>
    <col min="10756" max="10756" width="5" style="67" customWidth="1"/>
    <col min="10757" max="10763" width="11.33203125" style="67" customWidth="1"/>
    <col min="10764" max="10764" width="3.109375" style="67" customWidth="1"/>
    <col min="10765" max="11007" width="8.6640625" style="67"/>
    <col min="11008" max="11008" width="4.6640625" style="67" customWidth="1"/>
    <col min="11009" max="11009" width="15.6640625" style="67" customWidth="1"/>
    <col min="11010" max="11010" width="10.88671875" style="67" customWidth="1"/>
    <col min="11011" max="11011" width="47.5546875" style="67" customWidth="1"/>
    <col min="11012" max="11012" width="5" style="67" customWidth="1"/>
    <col min="11013" max="11019" width="11.33203125" style="67" customWidth="1"/>
    <col min="11020" max="11020" width="3.109375" style="67" customWidth="1"/>
    <col min="11021" max="11263" width="8.6640625" style="67"/>
    <col min="11264" max="11264" width="4.6640625" style="67" customWidth="1"/>
    <col min="11265" max="11265" width="15.6640625" style="67" customWidth="1"/>
    <col min="11266" max="11266" width="10.88671875" style="67" customWidth="1"/>
    <col min="11267" max="11267" width="47.5546875" style="67" customWidth="1"/>
    <col min="11268" max="11268" width="5" style="67" customWidth="1"/>
    <col min="11269" max="11275" width="11.33203125" style="67" customWidth="1"/>
    <col min="11276" max="11276" width="3.109375" style="67" customWidth="1"/>
    <col min="11277" max="11519" width="8.6640625" style="67"/>
    <col min="11520" max="11520" width="4.6640625" style="67" customWidth="1"/>
    <col min="11521" max="11521" width="15.6640625" style="67" customWidth="1"/>
    <col min="11522" max="11522" width="10.88671875" style="67" customWidth="1"/>
    <col min="11523" max="11523" width="47.5546875" style="67" customWidth="1"/>
    <col min="11524" max="11524" width="5" style="67" customWidth="1"/>
    <col min="11525" max="11531" width="11.33203125" style="67" customWidth="1"/>
    <col min="11532" max="11532" width="3.109375" style="67" customWidth="1"/>
    <col min="11533" max="11775" width="8.6640625" style="67"/>
    <col min="11776" max="11776" width="4.6640625" style="67" customWidth="1"/>
    <col min="11777" max="11777" width="15.6640625" style="67" customWidth="1"/>
    <col min="11778" max="11778" width="10.88671875" style="67" customWidth="1"/>
    <col min="11779" max="11779" width="47.5546875" style="67" customWidth="1"/>
    <col min="11780" max="11780" width="5" style="67" customWidth="1"/>
    <col min="11781" max="11787" width="11.33203125" style="67" customWidth="1"/>
    <col min="11788" max="11788" width="3.109375" style="67" customWidth="1"/>
    <col min="11789" max="12031" width="8.6640625" style="67"/>
    <col min="12032" max="12032" width="4.6640625" style="67" customWidth="1"/>
    <col min="12033" max="12033" width="15.6640625" style="67" customWidth="1"/>
    <col min="12034" max="12034" width="10.88671875" style="67" customWidth="1"/>
    <col min="12035" max="12035" width="47.5546875" style="67" customWidth="1"/>
    <col min="12036" max="12036" width="5" style="67" customWidth="1"/>
    <col min="12037" max="12043" width="11.33203125" style="67" customWidth="1"/>
    <col min="12044" max="12044" width="3.109375" style="67" customWidth="1"/>
    <col min="12045" max="12287" width="8.6640625" style="67"/>
    <col min="12288" max="12288" width="4.6640625" style="67" customWidth="1"/>
    <col min="12289" max="12289" width="15.6640625" style="67" customWidth="1"/>
    <col min="12290" max="12290" width="10.88671875" style="67" customWidth="1"/>
    <col min="12291" max="12291" width="47.5546875" style="67" customWidth="1"/>
    <col min="12292" max="12292" width="5" style="67" customWidth="1"/>
    <col min="12293" max="12299" width="11.33203125" style="67" customWidth="1"/>
    <col min="12300" max="12300" width="3.109375" style="67" customWidth="1"/>
    <col min="12301" max="12543" width="8.6640625" style="67"/>
    <col min="12544" max="12544" width="4.6640625" style="67" customWidth="1"/>
    <col min="12545" max="12545" width="15.6640625" style="67" customWidth="1"/>
    <col min="12546" max="12546" width="10.88671875" style="67" customWidth="1"/>
    <col min="12547" max="12547" width="47.5546875" style="67" customWidth="1"/>
    <col min="12548" max="12548" width="5" style="67" customWidth="1"/>
    <col min="12549" max="12555" width="11.33203125" style="67" customWidth="1"/>
    <col min="12556" max="12556" width="3.109375" style="67" customWidth="1"/>
    <col min="12557" max="12799" width="8.6640625" style="67"/>
    <col min="12800" max="12800" width="4.6640625" style="67" customWidth="1"/>
    <col min="12801" max="12801" width="15.6640625" style="67" customWidth="1"/>
    <col min="12802" max="12802" width="10.88671875" style="67" customWidth="1"/>
    <col min="12803" max="12803" width="47.5546875" style="67" customWidth="1"/>
    <col min="12804" max="12804" width="5" style="67" customWidth="1"/>
    <col min="12805" max="12811" width="11.33203125" style="67" customWidth="1"/>
    <col min="12812" max="12812" width="3.109375" style="67" customWidth="1"/>
    <col min="12813" max="13055" width="8.6640625" style="67"/>
    <col min="13056" max="13056" width="4.6640625" style="67" customWidth="1"/>
    <col min="13057" max="13057" width="15.6640625" style="67" customWidth="1"/>
    <col min="13058" max="13058" width="10.88671875" style="67" customWidth="1"/>
    <col min="13059" max="13059" width="47.5546875" style="67" customWidth="1"/>
    <col min="13060" max="13060" width="5" style="67" customWidth="1"/>
    <col min="13061" max="13067" width="11.33203125" style="67" customWidth="1"/>
    <col min="13068" max="13068" width="3.109375" style="67" customWidth="1"/>
    <col min="13069" max="13311" width="8.6640625" style="67"/>
    <col min="13312" max="13312" width="4.6640625" style="67" customWidth="1"/>
    <col min="13313" max="13313" width="15.6640625" style="67" customWidth="1"/>
    <col min="13314" max="13314" width="10.88671875" style="67" customWidth="1"/>
    <col min="13315" max="13315" width="47.5546875" style="67" customWidth="1"/>
    <col min="13316" max="13316" width="5" style="67" customWidth="1"/>
    <col min="13317" max="13323" width="11.33203125" style="67" customWidth="1"/>
    <col min="13324" max="13324" width="3.109375" style="67" customWidth="1"/>
    <col min="13325" max="13567" width="8.6640625" style="67"/>
    <col min="13568" max="13568" width="4.6640625" style="67" customWidth="1"/>
    <col min="13569" max="13569" width="15.6640625" style="67" customWidth="1"/>
    <col min="13570" max="13570" width="10.88671875" style="67" customWidth="1"/>
    <col min="13571" max="13571" width="47.5546875" style="67" customWidth="1"/>
    <col min="13572" max="13572" width="5" style="67" customWidth="1"/>
    <col min="13573" max="13579" width="11.33203125" style="67" customWidth="1"/>
    <col min="13580" max="13580" width="3.109375" style="67" customWidth="1"/>
    <col min="13581" max="13823" width="8.6640625" style="67"/>
    <col min="13824" max="13824" width="4.6640625" style="67" customWidth="1"/>
    <col min="13825" max="13825" width="15.6640625" style="67" customWidth="1"/>
    <col min="13826" max="13826" width="10.88671875" style="67" customWidth="1"/>
    <col min="13827" max="13827" width="47.5546875" style="67" customWidth="1"/>
    <col min="13828" max="13828" width="5" style="67" customWidth="1"/>
    <col min="13829" max="13835" width="11.33203125" style="67" customWidth="1"/>
    <col min="13836" max="13836" width="3.109375" style="67" customWidth="1"/>
    <col min="13837" max="14079" width="8.6640625" style="67"/>
    <col min="14080" max="14080" width="4.6640625" style="67" customWidth="1"/>
    <col min="14081" max="14081" width="15.6640625" style="67" customWidth="1"/>
    <col min="14082" max="14082" width="10.88671875" style="67" customWidth="1"/>
    <col min="14083" max="14083" width="47.5546875" style="67" customWidth="1"/>
    <col min="14084" max="14084" width="5" style="67" customWidth="1"/>
    <col min="14085" max="14091" width="11.33203125" style="67" customWidth="1"/>
    <col min="14092" max="14092" width="3.109375" style="67" customWidth="1"/>
    <col min="14093" max="14335" width="8.6640625" style="67"/>
    <col min="14336" max="14336" width="4.6640625" style="67" customWidth="1"/>
    <col min="14337" max="14337" width="15.6640625" style="67" customWidth="1"/>
    <col min="14338" max="14338" width="10.88671875" style="67" customWidth="1"/>
    <col min="14339" max="14339" width="47.5546875" style="67" customWidth="1"/>
    <col min="14340" max="14340" width="5" style="67" customWidth="1"/>
    <col min="14341" max="14347" width="11.33203125" style="67" customWidth="1"/>
    <col min="14348" max="14348" width="3.109375" style="67" customWidth="1"/>
    <col min="14349" max="14591" width="8.6640625" style="67"/>
    <col min="14592" max="14592" width="4.6640625" style="67" customWidth="1"/>
    <col min="14593" max="14593" width="15.6640625" style="67" customWidth="1"/>
    <col min="14594" max="14594" width="10.88671875" style="67" customWidth="1"/>
    <col min="14595" max="14595" width="47.5546875" style="67" customWidth="1"/>
    <col min="14596" max="14596" width="5" style="67" customWidth="1"/>
    <col min="14597" max="14603" width="11.33203125" style="67" customWidth="1"/>
    <col min="14604" max="14604" width="3.109375" style="67" customWidth="1"/>
    <col min="14605" max="14847" width="8.6640625" style="67"/>
    <col min="14848" max="14848" width="4.6640625" style="67" customWidth="1"/>
    <col min="14849" max="14849" width="15.6640625" style="67" customWidth="1"/>
    <col min="14850" max="14850" width="10.88671875" style="67" customWidth="1"/>
    <col min="14851" max="14851" width="47.5546875" style="67" customWidth="1"/>
    <col min="14852" max="14852" width="5" style="67" customWidth="1"/>
    <col min="14853" max="14859" width="11.33203125" style="67" customWidth="1"/>
    <col min="14860" max="14860" width="3.109375" style="67" customWidth="1"/>
    <col min="14861" max="15103" width="8.6640625" style="67"/>
    <col min="15104" max="15104" width="4.6640625" style="67" customWidth="1"/>
    <col min="15105" max="15105" width="15.6640625" style="67" customWidth="1"/>
    <col min="15106" max="15106" width="10.88671875" style="67" customWidth="1"/>
    <col min="15107" max="15107" width="47.5546875" style="67" customWidth="1"/>
    <col min="15108" max="15108" width="5" style="67" customWidth="1"/>
    <col min="15109" max="15115" width="11.33203125" style="67" customWidth="1"/>
    <col min="15116" max="15116" width="3.109375" style="67" customWidth="1"/>
    <col min="15117" max="15359" width="8.6640625" style="67"/>
    <col min="15360" max="15360" width="4.6640625" style="67" customWidth="1"/>
    <col min="15361" max="15361" width="15.6640625" style="67" customWidth="1"/>
    <col min="15362" max="15362" width="10.88671875" style="67" customWidth="1"/>
    <col min="15363" max="15363" width="47.5546875" style="67" customWidth="1"/>
    <col min="15364" max="15364" width="5" style="67" customWidth="1"/>
    <col min="15365" max="15371" width="11.33203125" style="67" customWidth="1"/>
    <col min="15372" max="15372" width="3.109375" style="67" customWidth="1"/>
    <col min="15373" max="15615" width="8.6640625" style="67"/>
    <col min="15616" max="15616" width="4.6640625" style="67" customWidth="1"/>
    <col min="15617" max="15617" width="15.6640625" style="67" customWidth="1"/>
    <col min="15618" max="15618" width="10.88671875" style="67" customWidth="1"/>
    <col min="15619" max="15619" width="47.5546875" style="67" customWidth="1"/>
    <col min="15620" max="15620" width="5" style="67" customWidth="1"/>
    <col min="15621" max="15627" width="11.33203125" style="67" customWidth="1"/>
    <col min="15628" max="15628" width="3.109375" style="67" customWidth="1"/>
    <col min="15629" max="15871" width="8.6640625" style="67"/>
    <col min="15872" max="15872" width="4.6640625" style="67" customWidth="1"/>
    <col min="15873" max="15873" width="15.6640625" style="67" customWidth="1"/>
    <col min="15874" max="15874" width="10.88671875" style="67" customWidth="1"/>
    <col min="15875" max="15875" width="47.5546875" style="67" customWidth="1"/>
    <col min="15876" max="15876" width="5" style="67" customWidth="1"/>
    <col min="15877" max="15883" width="11.33203125" style="67" customWidth="1"/>
    <col min="15884" max="15884" width="3.109375" style="67" customWidth="1"/>
    <col min="15885" max="16127" width="8.6640625" style="67"/>
    <col min="16128" max="16128" width="4.6640625" style="67" customWidth="1"/>
    <col min="16129" max="16129" width="15.6640625" style="67" customWidth="1"/>
    <col min="16130" max="16130" width="10.88671875" style="67" customWidth="1"/>
    <col min="16131" max="16131" width="47.5546875" style="67" customWidth="1"/>
    <col min="16132" max="16132" width="5" style="67" customWidth="1"/>
    <col min="16133" max="16139" width="11.33203125" style="67" customWidth="1"/>
    <col min="16140" max="16140" width="3.109375" style="67" customWidth="1"/>
    <col min="16141" max="16383" width="8.6640625" style="67"/>
    <col min="16384" max="16384" width="8.6640625" style="67" customWidth="1"/>
  </cols>
  <sheetData>
    <row r="1" spans="1:9" x14ac:dyDescent="0.3">
      <c r="A1" s="107" t="s">
        <v>716</v>
      </c>
      <c r="B1" s="95">
        <v>10000</v>
      </c>
      <c r="C1" s="96"/>
      <c r="E1" s="101" t="s">
        <v>287</v>
      </c>
      <c r="F1" s="101" t="s">
        <v>719</v>
      </c>
      <c r="G1" s="101" t="s">
        <v>716</v>
      </c>
      <c r="H1" s="101" t="s">
        <v>719</v>
      </c>
      <c r="I1" s="101" t="s">
        <v>720</v>
      </c>
    </row>
    <row r="2" spans="1:9" x14ac:dyDescent="0.3">
      <c r="A2" s="97" t="s">
        <v>717</v>
      </c>
      <c r="B2" s="67">
        <v>9500</v>
      </c>
      <c r="C2" s="98"/>
      <c r="E2" s="102"/>
      <c r="F2" s="102">
        <f>B13</f>
        <v>1369.5272738608146</v>
      </c>
      <c r="G2" s="102"/>
      <c r="H2" s="102">
        <f>B13</f>
        <v>1369.5272738608146</v>
      </c>
      <c r="I2" s="102">
        <f>B17</f>
        <v>869.5272738608146</v>
      </c>
    </row>
    <row r="3" spans="1:9" x14ac:dyDescent="0.3">
      <c r="A3" s="97" t="s">
        <v>718</v>
      </c>
      <c r="B3" s="68">
        <v>0.1</v>
      </c>
      <c r="C3" s="98"/>
      <c r="E3" s="103">
        <v>0.1</v>
      </c>
      <c r="F3" s="102">
        <f t="dataTable" ref="F3:F17" dt2D="0" dtr="0" r1="B5" ca="1"/>
        <v>747.84667132209506</v>
      </c>
      <c r="G3" s="102">
        <v>8000</v>
      </c>
      <c r="H3" s="102">
        <f t="dataTable" ref="H3:I17" dt2D="0" dtr="0" r1="B1"/>
        <v>368.99645022507957</v>
      </c>
      <c r="I3" s="102">
        <v>368.99645022507957</v>
      </c>
    </row>
    <row r="4" spans="1:9" x14ac:dyDescent="0.3">
      <c r="A4" s="97" t="s">
        <v>721</v>
      </c>
      <c r="B4" s="67">
        <v>0.25</v>
      </c>
      <c r="C4" s="108"/>
      <c r="D4" s="76"/>
      <c r="E4" s="103">
        <v>0.15</v>
      </c>
      <c r="F4" s="102">
        <v>792.72830228145176</v>
      </c>
      <c r="G4" s="102">
        <v>8500</v>
      </c>
      <c r="H4" s="102">
        <v>552.63102530473998</v>
      </c>
      <c r="I4" s="102">
        <v>552.63102530473998</v>
      </c>
    </row>
    <row r="5" spans="1:9" x14ac:dyDescent="0.3">
      <c r="A5" s="97" t="s">
        <v>287</v>
      </c>
      <c r="B5" s="67">
        <v>0.5</v>
      </c>
      <c r="C5" s="98"/>
      <c r="E5" s="103">
        <v>0.2</v>
      </c>
      <c r="F5" s="102">
        <v>857.92669231955551</v>
      </c>
      <c r="G5" s="102">
        <v>9000</v>
      </c>
      <c r="H5" s="102">
        <v>781.87005589723276</v>
      </c>
      <c r="I5" s="102">
        <v>781.87005589723276</v>
      </c>
    </row>
    <row r="6" spans="1:9" x14ac:dyDescent="0.3">
      <c r="A6" s="97" t="s">
        <v>285</v>
      </c>
      <c r="B6" s="67">
        <f>$B$5^2</f>
        <v>0.25</v>
      </c>
      <c r="C6" s="98"/>
      <c r="E6" s="103">
        <v>0.25</v>
      </c>
      <c r="F6" s="102">
        <v>933.90175324004576</v>
      </c>
      <c r="G6" s="102">
        <v>9500</v>
      </c>
      <c r="H6" s="102">
        <v>1055.2761756334876</v>
      </c>
      <c r="I6" s="102">
        <v>1055.2761756334876</v>
      </c>
    </row>
    <row r="7" spans="1:9" x14ac:dyDescent="0.3">
      <c r="A7" s="97" t="s">
        <v>722</v>
      </c>
      <c r="B7" s="68">
        <v>0</v>
      </c>
      <c r="C7" s="98"/>
      <c r="E7" s="103">
        <v>0.3</v>
      </c>
      <c r="F7" s="102">
        <v>1015.9180413683107</v>
      </c>
      <c r="G7" s="102">
        <v>10000</v>
      </c>
      <c r="H7" s="102">
        <v>1369.5272738608146</v>
      </c>
      <c r="I7" s="102">
        <v>869.5272738608146</v>
      </c>
    </row>
    <row r="8" spans="1:9" x14ac:dyDescent="0.3">
      <c r="A8" s="97"/>
      <c r="C8" s="98"/>
      <c r="E8" s="103">
        <v>0.35</v>
      </c>
      <c r="F8" s="102">
        <v>1101.5659247209005</v>
      </c>
      <c r="G8" s="102">
        <v>10500</v>
      </c>
      <c r="H8" s="102">
        <v>1720.1020992397607</v>
      </c>
      <c r="I8" s="102">
        <v>720.10209923976072</v>
      </c>
    </row>
    <row r="9" spans="1:9" x14ac:dyDescent="0.3">
      <c r="A9" s="97" t="s">
        <v>723</v>
      </c>
      <c r="B9" s="67">
        <f>(LN(B1/B2)+B3*B4)/(B5*SQRT(B4))+0.5*B5*SQRT(B4)</f>
        <v>0.4301731775502019</v>
      </c>
      <c r="C9" s="108" t="s">
        <v>814</v>
      </c>
      <c r="D9" s="76"/>
      <c r="E9" s="103">
        <v>0.4</v>
      </c>
      <c r="F9" s="102">
        <v>1189.5222843249639</v>
      </c>
      <c r="G9" s="102">
        <v>11000</v>
      </c>
      <c r="H9" s="102">
        <v>2101.9219574972121</v>
      </c>
      <c r="I9" s="102">
        <v>601.92195749721213</v>
      </c>
    </row>
    <row r="10" spans="1:9" x14ac:dyDescent="0.3">
      <c r="A10" s="97" t="s">
        <v>724</v>
      </c>
      <c r="B10" s="67">
        <f>B9-B5*SQRT(B4)</f>
        <v>0.1801731775502019</v>
      </c>
      <c r="C10" s="108" t="s">
        <v>815</v>
      </c>
      <c r="D10" s="76"/>
      <c r="E10" s="103">
        <v>0.45</v>
      </c>
      <c r="F10" s="102">
        <v>1279.0061816232546</v>
      </c>
      <c r="G10" s="102">
        <v>11500</v>
      </c>
      <c r="H10" s="102">
        <v>2509.8640906988639</v>
      </c>
      <c r="I10" s="102">
        <v>509.86409069886395</v>
      </c>
    </row>
    <row r="11" spans="1:9" x14ac:dyDescent="0.3">
      <c r="A11" s="97" t="s">
        <v>725</v>
      </c>
      <c r="B11" s="67">
        <f>NORMSDIST(B9)</f>
        <v>0.66646516408936662</v>
      </c>
      <c r="C11" s="108" t="s">
        <v>816</v>
      </c>
      <c r="D11" s="76"/>
      <c r="E11" s="103">
        <v>0.5</v>
      </c>
      <c r="F11" s="102">
        <v>1369.5272738608146</v>
      </c>
      <c r="G11" s="102">
        <v>12000</v>
      </c>
      <c r="H11" s="102">
        <v>2939.1189413458906</v>
      </c>
      <c r="I11" s="102">
        <v>439.11894134589056</v>
      </c>
    </row>
    <row r="12" spans="1:9" x14ac:dyDescent="0.3">
      <c r="A12" s="97" t="s">
        <v>726</v>
      </c>
      <c r="B12" s="67">
        <f>NORMSDIST(B10)</f>
        <v>0.57149169248169773</v>
      </c>
      <c r="C12" s="108" t="s">
        <v>817</v>
      </c>
      <c r="D12" s="76"/>
      <c r="E12" s="103">
        <v>0.55000000000000004</v>
      </c>
      <c r="F12" s="102">
        <v>1460.7610835481655</v>
      </c>
      <c r="G12" s="102">
        <v>12500</v>
      </c>
      <c r="H12" s="102">
        <v>3385.401095797477</v>
      </c>
      <c r="I12" s="102">
        <v>385.40109579747696</v>
      </c>
    </row>
    <row r="13" spans="1:9" x14ac:dyDescent="0.3">
      <c r="A13" s="97" t="s">
        <v>727</v>
      </c>
      <c r="B13" s="67">
        <f>B1*B11-B2*(EXP(-B3*B4))*B12</f>
        <v>1369.5272738608146</v>
      </c>
      <c r="C13" s="108" t="s">
        <v>818</v>
      </c>
      <c r="D13" s="76"/>
      <c r="E13" s="103">
        <v>0.6</v>
      </c>
      <c r="F13" s="102">
        <v>1552.4829873656317</v>
      </c>
      <c r="G13" s="102">
        <v>13000</v>
      </c>
      <c r="H13" s="102">
        <v>3845.042668994347</v>
      </c>
      <c r="I13" s="102">
        <v>345.04266899434697</v>
      </c>
    </row>
    <row r="14" spans="1:9" x14ac:dyDescent="0.3">
      <c r="A14" s="97" t="s">
        <v>728</v>
      </c>
      <c r="B14" s="67">
        <f>B2*(1-B12)*EXP(-B3*B4)-B1*(1-B11)</f>
        <v>634.97143812997456</v>
      </c>
      <c r="C14" s="108" t="s">
        <v>819</v>
      </c>
      <c r="D14" s="76"/>
      <c r="E14" s="103">
        <v>0.65</v>
      </c>
      <c r="F14" s="102">
        <v>1644.5312428948973</v>
      </c>
      <c r="G14" s="102">
        <v>13500</v>
      </c>
      <c r="H14" s="102">
        <v>4315.0031436678291</v>
      </c>
      <c r="I14" s="102">
        <v>315.00314366782914</v>
      </c>
    </row>
    <row r="15" spans="1:9" x14ac:dyDescent="0.3">
      <c r="A15" s="97"/>
      <c r="C15" s="98"/>
      <c r="E15" s="103">
        <v>0.7</v>
      </c>
      <c r="F15" s="102">
        <v>1736.7852496785044</v>
      </c>
      <c r="G15" s="102">
        <v>14000</v>
      </c>
      <c r="H15" s="102">
        <v>4792.8268201609571</v>
      </c>
      <c r="I15" s="102">
        <v>292.82682016095714</v>
      </c>
    </row>
    <row r="16" spans="1:9" x14ac:dyDescent="0.3">
      <c r="A16" s="97" t="s">
        <v>729</v>
      </c>
      <c r="B16" s="67">
        <f>MAX(B1-B2,0)</f>
        <v>500</v>
      </c>
      <c r="C16" s="108" t="s">
        <v>820</v>
      </c>
      <c r="D16" s="76"/>
      <c r="E16" s="103">
        <v>0.75</v>
      </c>
      <c r="F16" s="102">
        <v>1829.1522249082682</v>
      </c>
      <c r="G16" s="102">
        <v>14500</v>
      </c>
      <c r="H16" s="102">
        <v>5276.5725616530181</v>
      </c>
      <c r="I16" s="102">
        <v>276.57256165301806</v>
      </c>
    </row>
    <row r="17" spans="1:11" x14ac:dyDescent="0.3">
      <c r="A17" s="97" t="s">
        <v>730</v>
      </c>
      <c r="B17" s="67">
        <f>B13-B16</f>
        <v>869.5272738608146</v>
      </c>
      <c r="C17" s="108" t="s">
        <v>821</v>
      </c>
      <c r="D17" s="76"/>
      <c r="E17" s="103">
        <v>0.8</v>
      </c>
      <c r="F17" s="102">
        <v>1921.5587388901422</v>
      </c>
      <c r="G17" s="102">
        <v>15000</v>
      </c>
      <c r="H17" s="102">
        <v>5764.7333479438057</v>
      </c>
      <c r="I17" s="102">
        <v>264.73334794380571</v>
      </c>
    </row>
    <row r="18" spans="1:11" x14ac:dyDescent="0.3">
      <c r="A18" s="97"/>
      <c r="C18" s="98"/>
    </row>
    <row r="19" spans="1:11" x14ac:dyDescent="0.3">
      <c r="A19" s="97" t="s">
        <v>731</v>
      </c>
      <c r="B19" s="67">
        <f>MAX(B2-B1,0)</f>
        <v>0</v>
      </c>
      <c r="C19" s="108" t="s">
        <v>822</v>
      </c>
      <c r="D19" s="76"/>
      <c r="E19" s="104" t="s">
        <v>717</v>
      </c>
      <c r="F19" s="104" t="s">
        <v>719</v>
      </c>
      <c r="G19" s="104" t="s">
        <v>720</v>
      </c>
      <c r="H19" s="104" t="s">
        <v>718</v>
      </c>
      <c r="I19" s="104" t="s">
        <v>719</v>
      </c>
      <c r="J19" s="104" t="s">
        <v>733</v>
      </c>
      <c r="K19" s="104" t="s">
        <v>719</v>
      </c>
    </row>
    <row r="20" spans="1:11" x14ac:dyDescent="0.3">
      <c r="A20" s="99" t="s">
        <v>732</v>
      </c>
      <c r="B20" s="100">
        <f>B14-B19</f>
        <v>634.97143812997456</v>
      </c>
      <c r="C20" s="109" t="s">
        <v>823</v>
      </c>
      <c r="D20" s="76"/>
      <c r="E20" s="105"/>
      <c r="F20" s="105">
        <f>B13</f>
        <v>1369.5272738608146</v>
      </c>
      <c r="G20" s="105">
        <f>B17</f>
        <v>869.5272738608146</v>
      </c>
      <c r="H20" s="105"/>
      <c r="I20" s="105">
        <f>B13</f>
        <v>1369.5272738608146</v>
      </c>
      <c r="J20" s="105"/>
      <c r="K20" s="105">
        <f>B13</f>
        <v>1369.5272738608146</v>
      </c>
    </row>
    <row r="21" spans="1:11" x14ac:dyDescent="0.3">
      <c r="E21" s="105">
        <v>8000</v>
      </c>
      <c r="F21" s="105">
        <f t="dataTable" ref="F21:G35" dt2D="0" dtr="0" r1="B2" ca="1"/>
        <v>2383.2014360139701</v>
      </c>
      <c r="G21" s="105">
        <v>383.20143601397012</v>
      </c>
      <c r="H21" s="106">
        <v>0.02</v>
      </c>
      <c r="I21" s="105">
        <f t="dataTable" ref="I21:I35" dt2D="0" dtr="0" r1="B3" ca="1"/>
        <v>1265.5198961134602</v>
      </c>
      <c r="J21" s="105">
        <v>0.1</v>
      </c>
      <c r="K21" s="105">
        <f t="dataTable" ref="K21:K35" dt2D="0" dtr="0" r1="B4" ca="1"/>
        <v>953.91836119794971</v>
      </c>
    </row>
    <row r="22" spans="1:11" x14ac:dyDescent="0.3">
      <c r="E22" s="105">
        <v>8500</v>
      </c>
      <c r="F22" s="105">
        <v>2007.0519661507278</v>
      </c>
      <c r="G22" s="105">
        <v>507.05196615072782</v>
      </c>
      <c r="H22" s="106">
        <v>0.03</v>
      </c>
      <c r="I22" s="105">
        <v>1278.309360311393</v>
      </c>
      <c r="J22" s="105">
        <v>0.2</v>
      </c>
      <c r="K22" s="105">
        <v>1246.755948214889</v>
      </c>
    </row>
    <row r="23" spans="1:11" x14ac:dyDescent="0.3">
      <c r="E23" s="105">
        <v>9000</v>
      </c>
      <c r="F23" s="105">
        <v>1668.3901176325098</v>
      </c>
      <c r="G23" s="105">
        <v>668.39011763250983</v>
      </c>
      <c r="H23" s="106">
        <v>0.04</v>
      </c>
      <c r="I23" s="105">
        <v>1291.1602451154295</v>
      </c>
      <c r="J23" s="105">
        <v>0.3</v>
      </c>
      <c r="K23" s="105">
        <v>1482.4683519277241</v>
      </c>
    </row>
    <row r="24" spans="1:11" x14ac:dyDescent="0.3">
      <c r="E24" s="105">
        <v>9500</v>
      </c>
      <c r="F24" s="105">
        <v>1369.5272738608146</v>
      </c>
      <c r="G24" s="105">
        <v>869.5272738608146</v>
      </c>
      <c r="H24" s="106">
        <v>0.05</v>
      </c>
      <c r="I24" s="105">
        <v>1304.0720568862644</v>
      </c>
      <c r="J24" s="105">
        <v>0.4</v>
      </c>
      <c r="K24" s="105">
        <v>1687.0417627494407</v>
      </c>
    </row>
    <row r="25" spans="1:11" x14ac:dyDescent="0.3">
      <c r="E25" s="105">
        <v>10000</v>
      </c>
      <c r="F25" s="105">
        <v>1110.8170269826187</v>
      </c>
      <c r="G25" s="105">
        <v>1110.8170269826187</v>
      </c>
      <c r="H25" s="106">
        <v>0.06</v>
      </c>
      <c r="I25" s="105">
        <v>1317.0442951905916</v>
      </c>
      <c r="J25" s="105">
        <v>0.5</v>
      </c>
      <c r="K25" s="105">
        <v>1871.0573050161202</v>
      </c>
    </row>
    <row r="26" spans="1:11" x14ac:dyDescent="0.3">
      <c r="E26" s="105">
        <v>10500</v>
      </c>
      <c r="F26" s="105">
        <v>890.89304999313299</v>
      </c>
      <c r="G26" s="105">
        <v>890.89304999313299</v>
      </c>
      <c r="H26" s="106">
        <v>7.0000000000000007E-2</v>
      </c>
      <c r="I26" s="105">
        <v>1330.0764529176577</v>
      </c>
      <c r="J26" s="105">
        <v>0.6</v>
      </c>
      <c r="K26" s="105">
        <v>2040.0808058341099</v>
      </c>
    </row>
    <row r="27" spans="1:11" x14ac:dyDescent="0.3">
      <c r="E27" s="105">
        <v>11000</v>
      </c>
      <c r="F27" s="105">
        <v>707.06578511142925</v>
      </c>
      <c r="G27" s="105">
        <v>707.06578511142925</v>
      </c>
      <c r="H27" s="106">
        <v>0.08</v>
      </c>
      <c r="I27" s="105">
        <v>1343.1680163975152</v>
      </c>
      <c r="J27" s="105">
        <v>0.7</v>
      </c>
      <c r="K27" s="105">
        <v>2197.4755760292956</v>
      </c>
    </row>
    <row r="28" spans="1:11" x14ac:dyDescent="0.3">
      <c r="E28" s="105">
        <v>11500</v>
      </c>
      <c r="F28" s="105">
        <v>555.77239271919507</v>
      </c>
      <c r="G28" s="105">
        <v>555.77239271919507</v>
      </c>
      <c r="H28" s="106">
        <v>0.09</v>
      </c>
      <c r="I28" s="105">
        <v>1356.3184655209143</v>
      </c>
      <c r="J28" s="105">
        <v>0.8</v>
      </c>
      <c r="K28" s="105">
        <v>2345.4622541500894</v>
      </c>
    </row>
    <row r="29" spans="1:11" x14ac:dyDescent="0.3">
      <c r="E29" s="105">
        <v>12000</v>
      </c>
      <c r="F29" s="105">
        <v>433.00063211049383</v>
      </c>
      <c r="G29" s="105">
        <v>433.00063211049383</v>
      </c>
      <c r="H29" s="106">
        <v>0.1</v>
      </c>
      <c r="I29" s="105">
        <v>1369.5272738608146</v>
      </c>
      <c r="J29" s="105">
        <v>0.9</v>
      </c>
      <c r="K29" s="105">
        <v>2485.6006915696398</v>
      </c>
    </row>
    <row r="30" spans="1:11" x14ac:dyDescent="0.3">
      <c r="E30" s="105">
        <v>12500</v>
      </c>
      <c r="F30" s="105">
        <v>334.63969408205367</v>
      </c>
      <c r="G30" s="105">
        <v>334.63969408205367</v>
      </c>
      <c r="H30" s="106">
        <v>0.11</v>
      </c>
      <c r="I30" s="105">
        <v>1382.7939087954301</v>
      </c>
      <c r="J30" s="105">
        <v>1</v>
      </c>
      <c r="K30" s="105">
        <v>2619.0380402283563</v>
      </c>
    </row>
    <row r="31" spans="1:11" x14ac:dyDescent="0.3">
      <c r="E31" s="105">
        <v>13000</v>
      </c>
      <c r="F31" s="105">
        <v>256.73939367907087</v>
      </c>
      <c r="G31" s="105">
        <v>256.73939367907087</v>
      </c>
      <c r="H31" s="106">
        <v>0.12</v>
      </c>
      <c r="I31" s="105">
        <v>1396.1178316327687</v>
      </c>
      <c r="J31" s="105">
        <v>1.1000000000000001</v>
      </c>
      <c r="K31" s="105">
        <v>2746.6483897303042</v>
      </c>
    </row>
    <row r="32" spans="1:11" x14ac:dyDescent="0.3">
      <c r="E32" s="105">
        <v>13500</v>
      </c>
      <c r="F32" s="105">
        <v>195.67926143946897</v>
      </c>
      <c r="G32" s="105">
        <v>195.67926143946897</v>
      </c>
      <c r="H32" s="106">
        <v>0.13</v>
      </c>
      <c r="I32" s="105">
        <v>1409.4984977366012</v>
      </c>
      <c r="J32" s="105">
        <v>1.2</v>
      </c>
      <c r="K32" s="105">
        <v>2869.1168499672895</v>
      </c>
    </row>
    <row r="33" spans="5:11" x14ac:dyDescent="0.3">
      <c r="E33" s="105">
        <v>14000</v>
      </c>
      <c r="F33" s="105">
        <v>148.26063165184905</v>
      </c>
      <c r="G33" s="105">
        <v>148.26063165184905</v>
      </c>
      <c r="H33" s="106">
        <v>0.14000000000000001</v>
      </c>
      <c r="I33" s="105">
        <v>1422.9353566538239</v>
      </c>
      <c r="J33" s="105">
        <v>1.3</v>
      </c>
      <c r="K33" s="105">
        <v>2986.9929378627858</v>
      </c>
    </row>
    <row r="34" spans="5:11" x14ac:dyDescent="0.3">
      <c r="E34" s="105">
        <v>14500</v>
      </c>
      <c r="F34" s="105">
        <v>111.73952456247537</v>
      </c>
      <c r="G34" s="105">
        <v>111.73952456247537</v>
      </c>
      <c r="H34" s="106">
        <v>0.15</v>
      </c>
      <c r="I34" s="105">
        <v>1436.4278522431287</v>
      </c>
      <c r="J34" s="105">
        <v>1.4</v>
      </c>
      <c r="K34" s="105">
        <v>3100.7259572546609</v>
      </c>
    </row>
    <row r="35" spans="5:11" x14ac:dyDescent="0.3">
      <c r="E35" s="105">
        <v>15000</v>
      </c>
      <c r="F35" s="105">
        <v>83.818242329729969</v>
      </c>
      <c r="G35" s="105">
        <v>83.818242329729969</v>
      </c>
      <c r="H35" s="106">
        <v>0.16</v>
      </c>
      <c r="I35" s="105">
        <v>1449.975422804966</v>
      </c>
      <c r="J35" s="105">
        <v>1.5</v>
      </c>
      <c r="K35" s="105">
        <v>3210.6892891684174</v>
      </c>
    </row>
  </sheetData>
  <phoneticPr fontId="1" type="noConversion"/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FE492-E809-4363-A0AD-C519E97A95AC}">
  <dimension ref="A1:G25"/>
  <sheetViews>
    <sheetView zoomScaleNormal="100" workbookViewId="0">
      <selection activeCell="A28" sqref="A28"/>
    </sheetView>
  </sheetViews>
  <sheetFormatPr defaultColWidth="9.6640625" defaultRowHeight="13.2" x14ac:dyDescent="0.25"/>
  <cols>
    <col min="1" max="1" width="20.21875" style="110" customWidth="1"/>
    <col min="2" max="7" width="15.77734375" style="110" customWidth="1"/>
    <col min="8" max="8" width="9.6640625" style="110" customWidth="1"/>
    <col min="9" max="254" width="9.6640625" style="110"/>
    <col min="255" max="255" width="3.44140625" style="110" customWidth="1"/>
    <col min="256" max="256" width="12.5546875" style="110" customWidth="1"/>
    <col min="257" max="261" width="9.6640625" style="110"/>
    <col min="262" max="262" width="13.88671875" style="110" bestFit="1" customWidth="1"/>
    <col min="263" max="263" width="3.44140625" style="110" customWidth="1"/>
    <col min="264" max="510" width="9.6640625" style="110"/>
    <col min="511" max="511" width="3.44140625" style="110" customWidth="1"/>
    <col min="512" max="512" width="12.5546875" style="110" customWidth="1"/>
    <col min="513" max="517" width="9.6640625" style="110"/>
    <col min="518" max="518" width="13.88671875" style="110" bestFit="1" customWidth="1"/>
    <col min="519" max="519" width="3.44140625" style="110" customWidth="1"/>
    <col min="520" max="766" width="9.6640625" style="110"/>
    <col min="767" max="767" width="3.44140625" style="110" customWidth="1"/>
    <col min="768" max="768" width="12.5546875" style="110" customWidth="1"/>
    <col min="769" max="773" width="9.6640625" style="110"/>
    <col min="774" max="774" width="13.88671875" style="110" bestFit="1" customWidth="1"/>
    <col min="775" max="775" width="3.44140625" style="110" customWidth="1"/>
    <col min="776" max="1022" width="9.6640625" style="110"/>
    <col min="1023" max="1023" width="3.44140625" style="110" customWidth="1"/>
    <col min="1024" max="1024" width="12.5546875" style="110" customWidth="1"/>
    <col min="1025" max="1029" width="9.6640625" style="110"/>
    <col min="1030" max="1030" width="13.88671875" style="110" bestFit="1" customWidth="1"/>
    <col min="1031" max="1031" width="3.44140625" style="110" customWidth="1"/>
    <col min="1032" max="1278" width="9.6640625" style="110"/>
    <col min="1279" max="1279" width="3.44140625" style="110" customWidth="1"/>
    <col min="1280" max="1280" width="12.5546875" style="110" customWidth="1"/>
    <col min="1281" max="1285" width="9.6640625" style="110"/>
    <col min="1286" max="1286" width="13.88671875" style="110" bestFit="1" customWidth="1"/>
    <col min="1287" max="1287" width="3.44140625" style="110" customWidth="1"/>
    <col min="1288" max="1534" width="9.6640625" style="110"/>
    <col min="1535" max="1535" width="3.44140625" style="110" customWidth="1"/>
    <col min="1536" max="1536" width="12.5546875" style="110" customWidth="1"/>
    <col min="1537" max="1541" width="9.6640625" style="110"/>
    <col min="1542" max="1542" width="13.88671875" style="110" bestFit="1" customWidth="1"/>
    <col min="1543" max="1543" width="3.44140625" style="110" customWidth="1"/>
    <col min="1544" max="1790" width="9.6640625" style="110"/>
    <col min="1791" max="1791" width="3.44140625" style="110" customWidth="1"/>
    <col min="1792" max="1792" width="12.5546875" style="110" customWidth="1"/>
    <col min="1793" max="1797" width="9.6640625" style="110"/>
    <col min="1798" max="1798" width="13.88671875" style="110" bestFit="1" customWidth="1"/>
    <col min="1799" max="1799" width="3.44140625" style="110" customWidth="1"/>
    <col min="1800" max="2046" width="9.6640625" style="110"/>
    <col min="2047" max="2047" width="3.44140625" style="110" customWidth="1"/>
    <col min="2048" max="2048" width="12.5546875" style="110" customWidth="1"/>
    <col min="2049" max="2053" width="9.6640625" style="110"/>
    <col min="2054" max="2054" width="13.88671875" style="110" bestFit="1" customWidth="1"/>
    <col min="2055" max="2055" width="3.44140625" style="110" customWidth="1"/>
    <col min="2056" max="2302" width="9.6640625" style="110"/>
    <col min="2303" max="2303" width="3.44140625" style="110" customWidth="1"/>
    <col min="2304" max="2304" width="12.5546875" style="110" customWidth="1"/>
    <col min="2305" max="2309" width="9.6640625" style="110"/>
    <col min="2310" max="2310" width="13.88671875" style="110" bestFit="1" customWidth="1"/>
    <col min="2311" max="2311" width="3.44140625" style="110" customWidth="1"/>
    <col min="2312" max="2558" width="9.6640625" style="110"/>
    <col min="2559" max="2559" width="3.44140625" style="110" customWidth="1"/>
    <col min="2560" max="2560" width="12.5546875" style="110" customWidth="1"/>
    <col min="2561" max="2565" width="9.6640625" style="110"/>
    <col min="2566" max="2566" width="13.88671875" style="110" bestFit="1" customWidth="1"/>
    <col min="2567" max="2567" width="3.44140625" style="110" customWidth="1"/>
    <col min="2568" max="2814" width="9.6640625" style="110"/>
    <col min="2815" max="2815" width="3.44140625" style="110" customWidth="1"/>
    <col min="2816" max="2816" width="12.5546875" style="110" customWidth="1"/>
    <col min="2817" max="2821" width="9.6640625" style="110"/>
    <col min="2822" max="2822" width="13.88671875" style="110" bestFit="1" customWidth="1"/>
    <col min="2823" max="2823" width="3.44140625" style="110" customWidth="1"/>
    <col min="2824" max="3070" width="9.6640625" style="110"/>
    <col min="3071" max="3071" width="3.44140625" style="110" customWidth="1"/>
    <col min="3072" max="3072" width="12.5546875" style="110" customWidth="1"/>
    <col min="3073" max="3077" width="9.6640625" style="110"/>
    <col min="3078" max="3078" width="13.88671875" style="110" bestFit="1" customWidth="1"/>
    <col min="3079" max="3079" width="3.44140625" style="110" customWidth="1"/>
    <col min="3080" max="3326" width="9.6640625" style="110"/>
    <col min="3327" max="3327" width="3.44140625" style="110" customWidth="1"/>
    <col min="3328" max="3328" width="12.5546875" style="110" customWidth="1"/>
    <col min="3329" max="3333" width="9.6640625" style="110"/>
    <col min="3334" max="3334" width="13.88671875" style="110" bestFit="1" customWidth="1"/>
    <col min="3335" max="3335" width="3.44140625" style="110" customWidth="1"/>
    <col min="3336" max="3582" width="9.6640625" style="110"/>
    <col min="3583" max="3583" width="3.44140625" style="110" customWidth="1"/>
    <col min="3584" max="3584" width="12.5546875" style="110" customWidth="1"/>
    <col min="3585" max="3589" width="9.6640625" style="110"/>
    <col min="3590" max="3590" width="13.88671875" style="110" bestFit="1" customWidth="1"/>
    <col min="3591" max="3591" width="3.44140625" style="110" customWidth="1"/>
    <col min="3592" max="3838" width="9.6640625" style="110"/>
    <col min="3839" max="3839" width="3.44140625" style="110" customWidth="1"/>
    <col min="3840" max="3840" width="12.5546875" style="110" customWidth="1"/>
    <col min="3841" max="3845" width="9.6640625" style="110"/>
    <col min="3846" max="3846" width="13.88671875" style="110" bestFit="1" customWidth="1"/>
    <col min="3847" max="3847" width="3.44140625" style="110" customWidth="1"/>
    <col min="3848" max="4094" width="9.6640625" style="110"/>
    <col min="4095" max="4095" width="3.44140625" style="110" customWidth="1"/>
    <col min="4096" max="4096" width="12.5546875" style="110" customWidth="1"/>
    <col min="4097" max="4101" width="9.6640625" style="110"/>
    <col min="4102" max="4102" width="13.88671875" style="110" bestFit="1" customWidth="1"/>
    <col min="4103" max="4103" width="3.44140625" style="110" customWidth="1"/>
    <col min="4104" max="4350" width="9.6640625" style="110"/>
    <col min="4351" max="4351" width="3.44140625" style="110" customWidth="1"/>
    <col min="4352" max="4352" width="12.5546875" style="110" customWidth="1"/>
    <col min="4353" max="4357" width="9.6640625" style="110"/>
    <col min="4358" max="4358" width="13.88671875" style="110" bestFit="1" customWidth="1"/>
    <col min="4359" max="4359" width="3.44140625" style="110" customWidth="1"/>
    <col min="4360" max="4606" width="9.6640625" style="110"/>
    <col min="4607" max="4607" width="3.44140625" style="110" customWidth="1"/>
    <col min="4608" max="4608" width="12.5546875" style="110" customWidth="1"/>
    <col min="4609" max="4613" width="9.6640625" style="110"/>
    <col min="4614" max="4614" width="13.88671875" style="110" bestFit="1" customWidth="1"/>
    <col min="4615" max="4615" width="3.44140625" style="110" customWidth="1"/>
    <col min="4616" max="4862" width="9.6640625" style="110"/>
    <col min="4863" max="4863" width="3.44140625" style="110" customWidth="1"/>
    <col min="4864" max="4864" width="12.5546875" style="110" customWidth="1"/>
    <col min="4865" max="4869" width="9.6640625" style="110"/>
    <col min="4870" max="4870" width="13.88671875" style="110" bestFit="1" customWidth="1"/>
    <col min="4871" max="4871" width="3.44140625" style="110" customWidth="1"/>
    <col min="4872" max="5118" width="9.6640625" style="110"/>
    <col min="5119" max="5119" width="3.44140625" style="110" customWidth="1"/>
    <col min="5120" max="5120" width="12.5546875" style="110" customWidth="1"/>
    <col min="5121" max="5125" width="9.6640625" style="110"/>
    <col min="5126" max="5126" width="13.88671875" style="110" bestFit="1" customWidth="1"/>
    <col min="5127" max="5127" width="3.44140625" style="110" customWidth="1"/>
    <col min="5128" max="5374" width="9.6640625" style="110"/>
    <col min="5375" max="5375" width="3.44140625" style="110" customWidth="1"/>
    <col min="5376" max="5376" width="12.5546875" style="110" customWidth="1"/>
    <col min="5377" max="5381" width="9.6640625" style="110"/>
    <col min="5382" max="5382" width="13.88671875" style="110" bestFit="1" customWidth="1"/>
    <col min="5383" max="5383" width="3.44140625" style="110" customWidth="1"/>
    <col min="5384" max="5630" width="9.6640625" style="110"/>
    <col min="5631" max="5631" width="3.44140625" style="110" customWidth="1"/>
    <col min="5632" max="5632" width="12.5546875" style="110" customWidth="1"/>
    <col min="5633" max="5637" width="9.6640625" style="110"/>
    <col min="5638" max="5638" width="13.88671875" style="110" bestFit="1" customWidth="1"/>
    <col min="5639" max="5639" width="3.44140625" style="110" customWidth="1"/>
    <col min="5640" max="5886" width="9.6640625" style="110"/>
    <col min="5887" max="5887" width="3.44140625" style="110" customWidth="1"/>
    <col min="5888" max="5888" width="12.5546875" style="110" customWidth="1"/>
    <col min="5889" max="5893" width="9.6640625" style="110"/>
    <col min="5894" max="5894" width="13.88671875" style="110" bestFit="1" customWidth="1"/>
    <col min="5895" max="5895" width="3.44140625" style="110" customWidth="1"/>
    <col min="5896" max="6142" width="9.6640625" style="110"/>
    <col min="6143" max="6143" width="3.44140625" style="110" customWidth="1"/>
    <col min="6144" max="6144" width="12.5546875" style="110" customWidth="1"/>
    <col min="6145" max="6149" width="9.6640625" style="110"/>
    <col min="6150" max="6150" width="13.88671875" style="110" bestFit="1" customWidth="1"/>
    <col min="6151" max="6151" width="3.44140625" style="110" customWidth="1"/>
    <col min="6152" max="6398" width="9.6640625" style="110"/>
    <col min="6399" max="6399" width="3.44140625" style="110" customWidth="1"/>
    <col min="6400" max="6400" width="12.5546875" style="110" customWidth="1"/>
    <col min="6401" max="6405" width="9.6640625" style="110"/>
    <col min="6406" max="6406" width="13.88671875" style="110" bestFit="1" customWidth="1"/>
    <col min="6407" max="6407" width="3.44140625" style="110" customWidth="1"/>
    <col min="6408" max="6654" width="9.6640625" style="110"/>
    <col min="6655" max="6655" width="3.44140625" style="110" customWidth="1"/>
    <col min="6656" max="6656" width="12.5546875" style="110" customWidth="1"/>
    <col min="6657" max="6661" width="9.6640625" style="110"/>
    <col min="6662" max="6662" width="13.88671875" style="110" bestFit="1" customWidth="1"/>
    <col min="6663" max="6663" width="3.44140625" style="110" customWidth="1"/>
    <col min="6664" max="6910" width="9.6640625" style="110"/>
    <col min="6911" max="6911" width="3.44140625" style="110" customWidth="1"/>
    <col min="6912" max="6912" width="12.5546875" style="110" customWidth="1"/>
    <col min="6913" max="6917" width="9.6640625" style="110"/>
    <col min="6918" max="6918" width="13.88671875" style="110" bestFit="1" customWidth="1"/>
    <col min="6919" max="6919" width="3.44140625" style="110" customWidth="1"/>
    <col min="6920" max="7166" width="9.6640625" style="110"/>
    <col min="7167" max="7167" width="3.44140625" style="110" customWidth="1"/>
    <col min="7168" max="7168" width="12.5546875" style="110" customWidth="1"/>
    <col min="7169" max="7173" width="9.6640625" style="110"/>
    <col min="7174" max="7174" width="13.88671875" style="110" bestFit="1" customWidth="1"/>
    <col min="7175" max="7175" width="3.44140625" style="110" customWidth="1"/>
    <col min="7176" max="7422" width="9.6640625" style="110"/>
    <col min="7423" max="7423" width="3.44140625" style="110" customWidth="1"/>
    <col min="7424" max="7424" width="12.5546875" style="110" customWidth="1"/>
    <col min="7425" max="7429" width="9.6640625" style="110"/>
    <col min="7430" max="7430" width="13.88671875" style="110" bestFit="1" customWidth="1"/>
    <col min="7431" max="7431" width="3.44140625" style="110" customWidth="1"/>
    <col min="7432" max="7678" width="9.6640625" style="110"/>
    <col min="7679" max="7679" width="3.44140625" style="110" customWidth="1"/>
    <col min="7680" max="7680" width="12.5546875" style="110" customWidth="1"/>
    <col min="7681" max="7685" width="9.6640625" style="110"/>
    <col min="7686" max="7686" width="13.88671875" style="110" bestFit="1" customWidth="1"/>
    <col min="7687" max="7687" width="3.44140625" style="110" customWidth="1"/>
    <col min="7688" max="7934" width="9.6640625" style="110"/>
    <col min="7935" max="7935" width="3.44140625" style="110" customWidth="1"/>
    <col min="7936" max="7936" width="12.5546875" style="110" customWidth="1"/>
    <col min="7937" max="7941" width="9.6640625" style="110"/>
    <col min="7942" max="7942" width="13.88671875" style="110" bestFit="1" customWidth="1"/>
    <col min="7943" max="7943" width="3.44140625" style="110" customWidth="1"/>
    <col min="7944" max="8190" width="9.6640625" style="110"/>
    <col min="8191" max="8191" width="3.44140625" style="110" customWidth="1"/>
    <col min="8192" max="8192" width="12.5546875" style="110" customWidth="1"/>
    <col min="8193" max="8197" width="9.6640625" style="110"/>
    <col min="8198" max="8198" width="13.88671875" style="110" bestFit="1" customWidth="1"/>
    <col min="8199" max="8199" width="3.44140625" style="110" customWidth="1"/>
    <col min="8200" max="8446" width="9.6640625" style="110"/>
    <col min="8447" max="8447" width="3.44140625" style="110" customWidth="1"/>
    <col min="8448" max="8448" width="12.5546875" style="110" customWidth="1"/>
    <col min="8449" max="8453" width="9.6640625" style="110"/>
    <col min="8454" max="8454" width="13.88671875" style="110" bestFit="1" customWidth="1"/>
    <col min="8455" max="8455" width="3.44140625" style="110" customWidth="1"/>
    <col min="8456" max="8702" width="9.6640625" style="110"/>
    <col min="8703" max="8703" width="3.44140625" style="110" customWidth="1"/>
    <col min="8704" max="8704" width="12.5546875" style="110" customWidth="1"/>
    <col min="8705" max="8709" width="9.6640625" style="110"/>
    <col min="8710" max="8710" width="13.88671875" style="110" bestFit="1" customWidth="1"/>
    <col min="8711" max="8711" width="3.44140625" style="110" customWidth="1"/>
    <col min="8712" max="8958" width="9.6640625" style="110"/>
    <col min="8959" max="8959" width="3.44140625" style="110" customWidth="1"/>
    <col min="8960" max="8960" width="12.5546875" style="110" customWidth="1"/>
    <col min="8961" max="8965" width="9.6640625" style="110"/>
    <col min="8966" max="8966" width="13.88671875" style="110" bestFit="1" customWidth="1"/>
    <col min="8967" max="8967" width="3.44140625" style="110" customWidth="1"/>
    <col min="8968" max="9214" width="9.6640625" style="110"/>
    <col min="9215" max="9215" width="3.44140625" style="110" customWidth="1"/>
    <col min="9216" max="9216" width="12.5546875" style="110" customWidth="1"/>
    <col min="9217" max="9221" width="9.6640625" style="110"/>
    <col min="9222" max="9222" width="13.88671875" style="110" bestFit="1" customWidth="1"/>
    <col min="9223" max="9223" width="3.44140625" style="110" customWidth="1"/>
    <col min="9224" max="9470" width="9.6640625" style="110"/>
    <col min="9471" max="9471" width="3.44140625" style="110" customWidth="1"/>
    <col min="9472" max="9472" width="12.5546875" style="110" customWidth="1"/>
    <col min="9473" max="9477" width="9.6640625" style="110"/>
    <col min="9478" max="9478" width="13.88671875" style="110" bestFit="1" customWidth="1"/>
    <col min="9479" max="9479" width="3.44140625" style="110" customWidth="1"/>
    <col min="9480" max="9726" width="9.6640625" style="110"/>
    <col min="9727" max="9727" width="3.44140625" style="110" customWidth="1"/>
    <col min="9728" max="9728" width="12.5546875" style="110" customWidth="1"/>
    <col min="9729" max="9733" width="9.6640625" style="110"/>
    <col min="9734" max="9734" width="13.88671875" style="110" bestFit="1" customWidth="1"/>
    <col min="9735" max="9735" width="3.44140625" style="110" customWidth="1"/>
    <col min="9736" max="9982" width="9.6640625" style="110"/>
    <col min="9983" max="9983" width="3.44140625" style="110" customWidth="1"/>
    <col min="9984" max="9984" width="12.5546875" style="110" customWidth="1"/>
    <col min="9985" max="9989" width="9.6640625" style="110"/>
    <col min="9990" max="9990" width="13.88671875" style="110" bestFit="1" customWidth="1"/>
    <col min="9991" max="9991" width="3.44140625" style="110" customWidth="1"/>
    <col min="9992" max="10238" width="9.6640625" style="110"/>
    <col min="10239" max="10239" width="3.44140625" style="110" customWidth="1"/>
    <col min="10240" max="10240" width="12.5546875" style="110" customWidth="1"/>
    <col min="10241" max="10245" width="9.6640625" style="110"/>
    <col min="10246" max="10246" width="13.88671875" style="110" bestFit="1" customWidth="1"/>
    <col min="10247" max="10247" width="3.44140625" style="110" customWidth="1"/>
    <col min="10248" max="10494" width="9.6640625" style="110"/>
    <col min="10495" max="10495" width="3.44140625" style="110" customWidth="1"/>
    <col min="10496" max="10496" width="12.5546875" style="110" customWidth="1"/>
    <col min="10497" max="10501" width="9.6640625" style="110"/>
    <col min="10502" max="10502" width="13.88671875" style="110" bestFit="1" customWidth="1"/>
    <col min="10503" max="10503" width="3.44140625" style="110" customWidth="1"/>
    <col min="10504" max="10750" width="9.6640625" style="110"/>
    <col min="10751" max="10751" width="3.44140625" style="110" customWidth="1"/>
    <col min="10752" max="10752" width="12.5546875" style="110" customWidth="1"/>
    <col min="10753" max="10757" width="9.6640625" style="110"/>
    <col min="10758" max="10758" width="13.88671875" style="110" bestFit="1" customWidth="1"/>
    <col min="10759" max="10759" width="3.44140625" style="110" customWidth="1"/>
    <col min="10760" max="11006" width="9.6640625" style="110"/>
    <col min="11007" max="11007" width="3.44140625" style="110" customWidth="1"/>
    <col min="11008" max="11008" width="12.5546875" style="110" customWidth="1"/>
    <col min="11009" max="11013" width="9.6640625" style="110"/>
    <col min="11014" max="11014" width="13.88671875" style="110" bestFit="1" customWidth="1"/>
    <col min="11015" max="11015" width="3.44140625" style="110" customWidth="1"/>
    <col min="11016" max="11262" width="9.6640625" style="110"/>
    <col min="11263" max="11263" width="3.44140625" style="110" customWidth="1"/>
    <col min="11264" max="11264" width="12.5546875" style="110" customWidth="1"/>
    <col min="11265" max="11269" width="9.6640625" style="110"/>
    <col min="11270" max="11270" width="13.88671875" style="110" bestFit="1" customWidth="1"/>
    <col min="11271" max="11271" width="3.44140625" style="110" customWidth="1"/>
    <col min="11272" max="11518" width="9.6640625" style="110"/>
    <col min="11519" max="11519" width="3.44140625" style="110" customWidth="1"/>
    <col min="11520" max="11520" width="12.5546875" style="110" customWidth="1"/>
    <col min="11521" max="11525" width="9.6640625" style="110"/>
    <col min="11526" max="11526" width="13.88671875" style="110" bestFit="1" customWidth="1"/>
    <col min="11527" max="11527" width="3.44140625" style="110" customWidth="1"/>
    <col min="11528" max="11774" width="9.6640625" style="110"/>
    <col min="11775" max="11775" width="3.44140625" style="110" customWidth="1"/>
    <col min="11776" max="11776" width="12.5546875" style="110" customWidth="1"/>
    <col min="11777" max="11781" width="9.6640625" style="110"/>
    <col min="11782" max="11782" width="13.88671875" style="110" bestFit="1" customWidth="1"/>
    <col min="11783" max="11783" width="3.44140625" style="110" customWidth="1"/>
    <col min="11784" max="12030" width="9.6640625" style="110"/>
    <col min="12031" max="12031" width="3.44140625" style="110" customWidth="1"/>
    <col min="12032" max="12032" width="12.5546875" style="110" customWidth="1"/>
    <col min="12033" max="12037" width="9.6640625" style="110"/>
    <col min="12038" max="12038" width="13.88671875" style="110" bestFit="1" customWidth="1"/>
    <col min="12039" max="12039" width="3.44140625" style="110" customWidth="1"/>
    <col min="12040" max="12286" width="9.6640625" style="110"/>
    <col min="12287" max="12287" width="3.44140625" style="110" customWidth="1"/>
    <col min="12288" max="12288" width="12.5546875" style="110" customWidth="1"/>
    <col min="12289" max="12293" width="9.6640625" style="110"/>
    <col min="12294" max="12294" width="13.88671875" style="110" bestFit="1" customWidth="1"/>
    <col min="12295" max="12295" width="3.44140625" style="110" customWidth="1"/>
    <col min="12296" max="12542" width="9.6640625" style="110"/>
    <col min="12543" max="12543" width="3.44140625" style="110" customWidth="1"/>
    <col min="12544" max="12544" width="12.5546875" style="110" customWidth="1"/>
    <col min="12545" max="12549" width="9.6640625" style="110"/>
    <col min="12550" max="12550" width="13.88671875" style="110" bestFit="1" customWidth="1"/>
    <col min="12551" max="12551" width="3.44140625" style="110" customWidth="1"/>
    <col min="12552" max="12798" width="9.6640625" style="110"/>
    <col min="12799" max="12799" width="3.44140625" style="110" customWidth="1"/>
    <col min="12800" max="12800" width="12.5546875" style="110" customWidth="1"/>
    <col min="12801" max="12805" width="9.6640625" style="110"/>
    <col min="12806" max="12806" width="13.88671875" style="110" bestFit="1" customWidth="1"/>
    <col min="12807" max="12807" width="3.44140625" style="110" customWidth="1"/>
    <col min="12808" max="13054" width="9.6640625" style="110"/>
    <col min="13055" max="13055" width="3.44140625" style="110" customWidth="1"/>
    <col min="13056" max="13056" width="12.5546875" style="110" customWidth="1"/>
    <col min="13057" max="13061" width="9.6640625" style="110"/>
    <col min="13062" max="13062" width="13.88671875" style="110" bestFit="1" customWidth="1"/>
    <col min="13063" max="13063" width="3.44140625" style="110" customWidth="1"/>
    <col min="13064" max="13310" width="9.6640625" style="110"/>
    <col min="13311" max="13311" width="3.44140625" style="110" customWidth="1"/>
    <col min="13312" max="13312" width="12.5546875" style="110" customWidth="1"/>
    <col min="13313" max="13317" width="9.6640625" style="110"/>
    <col min="13318" max="13318" width="13.88671875" style="110" bestFit="1" customWidth="1"/>
    <col min="13319" max="13319" width="3.44140625" style="110" customWidth="1"/>
    <col min="13320" max="13566" width="9.6640625" style="110"/>
    <col min="13567" max="13567" width="3.44140625" style="110" customWidth="1"/>
    <col min="13568" max="13568" width="12.5546875" style="110" customWidth="1"/>
    <col min="13569" max="13573" width="9.6640625" style="110"/>
    <col min="13574" max="13574" width="13.88671875" style="110" bestFit="1" customWidth="1"/>
    <col min="13575" max="13575" width="3.44140625" style="110" customWidth="1"/>
    <col min="13576" max="13822" width="9.6640625" style="110"/>
    <col min="13823" max="13823" width="3.44140625" style="110" customWidth="1"/>
    <col min="13824" max="13824" width="12.5546875" style="110" customWidth="1"/>
    <col min="13825" max="13829" width="9.6640625" style="110"/>
    <col min="13830" max="13830" width="13.88671875" style="110" bestFit="1" customWidth="1"/>
    <col min="13831" max="13831" width="3.44140625" style="110" customWidth="1"/>
    <col min="13832" max="14078" width="9.6640625" style="110"/>
    <col min="14079" max="14079" width="3.44140625" style="110" customWidth="1"/>
    <col min="14080" max="14080" width="12.5546875" style="110" customWidth="1"/>
    <col min="14081" max="14085" width="9.6640625" style="110"/>
    <col min="14086" max="14086" width="13.88671875" style="110" bestFit="1" customWidth="1"/>
    <col min="14087" max="14087" width="3.44140625" style="110" customWidth="1"/>
    <col min="14088" max="14334" width="9.6640625" style="110"/>
    <col min="14335" max="14335" width="3.44140625" style="110" customWidth="1"/>
    <col min="14336" max="14336" width="12.5546875" style="110" customWidth="1"/>
    <col min="14337" max="14341" width="9.6640625" style="110"/>
    <col min="14342" max="14342" width="13.88671875" style="110" bestFit="1" customWidth="1"/>
    <col min="14343" max="14343" width="3.44140625" style="110" customWidth="1"/>
    <col min="14344" max="14590" width="9.6640625" style="110"/>
    <col min="14591" max="14591" width="3.44140625" style="110" customWidth="1"/>
    <col min="14592" max="14592" width="12.5546875" style="110" customWidth="1"/>
    <col min="14593" max="14597" width="9.6640625" style="110"/>
    <col min="14598" max="14598" width="13.88671875" style="110" bestFit="1" customWidth="1"/>
    <col min="14599" max="14599" width="3.44140625" style="110" customWidth="1"/>
    <col min="14600" max="14846" width="9.6640625" style="110"/>
    <col min="14847" max="14847" width="3.44140625" style="110" customWidth="1"/>
    <col min="14848" max="14848" width="12.5546875" style="110" customWidth="1"/>
    <col min="14849" max="14853" width="9.6640625" style="110"/>
    <col min="14854" max="14854" width="13.88671875" style="110" bestFit="1" customWidth="1"/>
    <col min="14855" max="14855" width="3.44140625" style="110" customWidth="1"/>
    <col min="14856" max="15102" width="9.6640625" style="110"/>
    <col min="15103" max="15103" width="3.44140625" style="110" customWidth="1"/>
    <col min="15104" max="15104" width="12.5546875" style="110" customWidth="1"/>
    <col min="15105" max="15109" width="9.6640625" style="110"/>
    <col min="15110" max="15110" width="13.88671875" style="110" bestFit="1" customWidth="1"/>
    <col min="15111" max="15111" width="3.44140625" style="110" customWidth="1"/>
    <col min="15112" max="15358" width="9.6640625" style="110"/>
    <col min="15359" max="15359" width="3.44140625" style="110" customWidth="1"/>
    <col min="15360" max="15360" width="12.5546875" style="110" customWidth="1"/>
    <col min="15361" max="15365" width="9.6640625" style="110"/>
    <col min="15366" max="15366" width="13.88671875" style="110" bestFit="1" customWidth="1"/>
    <col min="15367" max="15367" width="3.44140625" style="110" customWidth="1"/>
    <col min="15368" max="15614" width="9.6640625" style="110"/>
    <col min="15615" max="15615" width="3.44140625" style="110" customWidth="1"/>
    <col min="15616" max="15616" width="12.5546875" style="110" customWidth="1"/>
    <col min="15617" max="15621" width="9.6640625" style="110"/>
    <col min="15622" max="15622" width="13.88671875" style="110" bestFit="1" customWidth="1"/>
    <col min="15623" max="15623" width="3.44140625" style="110" customWidth="1"/>
    <col min="15624" max="15870" width="9.6640625" style="110"/>
    <col min="15871" max="15871" width="3.44140625" style="110" customWidth="1"/>
    <col min="15872" max="15872" width="12.5546875" style="110" customWidth="1"/>
    <col min="15873" max="15877" width="9.6640625" style="110"/>
    <col min="15878" max="15878" width="13.88671875" style="110" bestFit="1" customWidth="1"/>
    <col min="15879" max="15879" width="3.44140625" style="110" customWidth="1"/>
    <col min="15880" max="16126" width="9.6640625" style="110"/>
    <col min="16127" max="16127" width="3.44140625" style="110" customWidth="1"/>
    <col min="16128" max="16128" width="12.5546875" style="110" customWidth="1"/>
    <col min="16129" max="16133" width="9.6640625" style="110"/>
    <col min="16134" max="16134" width="13.88671875" style="110" bestFit="1" customWidth="1"/>
    <col min="16135" max="16135" width="3.44140625" style="110" customWidth="1"/>
    <col min="16136" max="16384" width="9.6640625" style="110"/>
  </cols>
  <sheetData>
    <row r="1" spans="1:7" x14ac:dyDescent="0.25">
      <c r="A1" s="110" t="s">
        <v>743</v>
      </c>
    </row>
    <row r="2" spans="1:7" x14ac:dyDescent="0.25">
      <c r="A2" s="111" t="s">
        <v>744</v>
      </c>
      <c r="B2" s="111">
        <v>0.5</v>
      </c>
    </row>
    <row r="3" spans="1:7" x14ac:dyDescent="0.25">
      <c r="A3" s="111" t="s">
        <v>745</v>
      </c>
      <c r="B3" s="111">
        <v>0.5</v>
      </c>
    </row>
    <row r="4" spans="1:7" x14ac:dyDescent="0.25">
      <c r="A4" s="111" t="s">
        <v>707</v>
      </c>
      <c r="B4" s="111">
        <v>100</v>
      </c>
    </row>
    <row r="6" spans="1:7" x14ac:dyDescent="0.25">
      <c r="A6" s="111"/>
      <c r="B6" s="111" t="s">
        <v>746</v>
      </c>
      <c r="C6" s="111" t="s">
        <v>747</v>
      </c>
    </row>
    <row r="7" spans="1:7" x14ac:dyDescent="0.25">
      <c r="A7" s="111" t="s">
        <v>748</v>
      </c>
      <c r="B7" s="112">
        <v>0.2</v>
      </c>
      <c r="C7" s="112">
        <v>-0.1</v>
      </c>
    </row>
    <row r="8" spans="1:7" x14ac:dyDescent="0.25">
      <c r="A8" s="111" t="s">
        <v>749</v>
      </c>
      <c r="B8" s="112">
        <v>-0.2</v>
      </c>
      <c r="C8" s="112">
        <v>0.1</v>
      </c>
    </row>
    <row r="9" spans="1:7" x14ac:dyDescent="0.25">
      <c r="A9" s="111" t="s">
        <v>750</v>
      </c>
      <c r="B9" s="112">
        <v>0.2</v>
      </c>
      <c r="C9" s="112">
        <v>0.1</v>
      </c>
    </row>
    <row r="10" spans="1:7" x14ac:dyDescent="0.25">
      <c r="A10" s="111" t="s">
        <v>751</v>
      </c>
      <c r="B10" s="112">
        <v>-0.2</v>
      </c>
      <c r="C10" s="112">
        <v>-0.1</v>
      </c>
    </row>
    <row r="11" spans="1:7" x14ac:dyDescent="0.25">
      <c r="A11" s="111" t="s">
        <v>752</v>
      </c>
      <c r="B11" s="112">
        <v>0.2</v>
      </c>
      <c r="C11" s="112">
        <v>-0.1</v>
      </c>
    </row>
    <row r="13" spans="1:7" x14ac:dyDescent="0.25">
      <c r="A13" s="116" t="s">
        <v>753</v>
      </c>
      <c r="B13" s="114" t="s">
        <v>754</v>
      </c>
      <c r="C13" s="114" t="s">
        <v>755</v>
      </c>
      <c r="D13" s="114" t="s">
        <v>756</v>
      </c>
      <c r="E13" s="114" t="s">
        <v>757</v>
      </c>
      <c r="F13" s="114" t="s">
        <v>758</v>
      </c>
      <c r="G13" s="114" t="s">
        <v>759</v>
      </c>
    </row>
    <row r="14" spans="1:7" x14ac:dyDescent="0.25">
      <c r="A14" s="110" t="s">
        <v>748</v>
      </c>
      <c r="B14" s="115">
        <f>$B$4*$B$2*(1+B7)</f>
        <v>60</v>
      </c>
      <c r="C14" s="115">
        <f>$B$4*$B$3*(1+C7)</f>
        <v>45</v>
      </c>
      <c r="D14" s="115">
        <f>B14+C14</f>
        <v>105</v>
      </c>
      <c r="E14" s="113">
        <f>B14/(B14+C14)</f>
        <v>0.5714285714285714</v>
      </c>
      <c r="F14" s="113">
        <f>1-E14</f>
        <v>0.4285714285714286</v>
      </c>
      <c r="G14" s="113">
        <f>(D14-B4)/B4</f>
        <v>0.05</v>
      </c>
    </row>
    <row r="15" spans="1:7" x14ac:dyDescent="0.25">
      <c r="A15" s="110" t="s">
        <v>749</v>
      </c>
      <c r="B15" s="115">
        <f>$B$14*(1+B8)</f>
        <v>48</v>
      </c>
      <c r="C15" s="115">
        <f>$C$14*(1+C8)</f>
        <v>49.500000000000007</v>
      </c>
      <c r="D15" s="115">
        <f>B15+C15</f>
        <v>97.5</v>
      </c>
      <c r="E15" s="113">
        <f>B15/(B15+C15)</f>
        <v>0.49230769230769234</v>
      </c>
      <c r="F15" s="113">
        <f>1-E15</f>
        <v>0.50769230769230766</v>
      </c>
      <c r="G15" s="113">
        <f>(D15-$D$14)/$D$14</f>
        <v>-7.1428571428571425E-2</v>
      </c>
    </row>
    <row r="16" spans="1:7" x14ac:dyDescent="0.25">
      <c r="A16" s="110" t="s">
        <v>750</v>
      </c>
      <c r="B16" s="115">
        <f>$B$14*(1+B9)</f>
        <v>72</v>
      </c>
      <c r="C16" s="115">
        <f>$C$14*(1+C9)</f>
        <v>49.500000000000007</v>
      </c>
      <c r="D16" s="115">
        <f>B16+C16</f>
        <v>121.5</v>
      </c>
      <c r="E16" s="113">
        <f>B16/(B16+C16)</f>
        <v>0.59259259259259256</v>
      </c>
      <c r="F16" s="113">
        <f>1-E16</f>
        <v>0.40740740740740744</v>
      </c>
      <c r="G16" s="113">
        <f>(D16-$D$14)/$D$14</f>
        <v>0.15714285714285714</v>
      </c>
    </row>
    <row r="17" spans="1:7" x14ac:dyDescent="0.25">
      <c r="A17" s="110" t="s">
        <v>751</v>
      </c>
      <c r="B17" s="115">
        <f>$B$14*(1+B10)</f>
        <v>48</v>
      </c>
      <c r="C17" s="115">
        <f>$C$14*(1+C10)</f>
        <v>40.5</v>
      </c>
      <c r="D17" s="115">
        <f>B17+C17</f>
        <v>88.5</v>
      </c>
      <c r="E17" s="113">
        <f>B17/(B17+C17)</f>
        <v>0.5423728813559322</v>
      </c>
      <c r="F17" s="113">
        <f>1-E17</f>
        <v>0.4576271186440678</v>
      </c>
      <c r="G17" s="113">
        <f>(D17-$D$14)/$D$14</f>
        <v>-0.15714285714285714</v>
      </c>
    </row>
    <row r="18" spans="1:7" x14ac:dyDescent="0.25">
      <c r="A18" s="110" t="s">
        <v>752</v>
      </c>
      <c r="B18" s="115">
        <f>$B$14*(1+B11)</f>
        <v>72</v>
      </c>
      <c r="C18" s="115">
        <f>$C$14*(1+C11)</f>
        <v>40.5</v>
      </c>
      <c r="D18" s="115">
        <f>B18+C18</f>
        <v>112.5</v>
      </c>
      <c r="E18" s="113">
        <f>B18/(B18+C18)</f>
        <v>0.64</v>
      </c>
      <c r="F18" s="113">
        <f>1-E18</f>
        <v>0.36</v>
      </c>
      <c r="G18" s="113">
        <f>(D18-$D$14)/$D$14</f>
        <v>7.1428571428571425E-2</v>
      </c>
    </row>
    <row r="19" spans="1:7" x14ac:dyDescent="0.25">
      <c r="B19" s="115"/>
      <c r="C19" s="115"/>
      <c r="D19" s="115"/>
      <c r="E19" s="113"/>
      <c r="F19" s="113"/>
      <c r="G19" s="113"/>
    </row>
    <row r="20" spans="1:7" x14ac:dyDescent="0.25">
      <c r="A20" s="116" t="s">
        <v>760</v>
      </c>
      <c r="B20" s="114" t="s">
        <v>761</v>
      </c>
      <c r="C20" s="114" t="s">
        <v>755</v>
      </c>
      <c r="D20" s="114" t="s">
        <v>756</v>
      </c>
      <c r="E20" s="114" t="s">
        <v>762</v>
      </c>
      <c r="F20" s="114" t="s">
        <v>763</v>
      </c>
      <c r="G20" s="114" t="s">
        <v>759</v>
      </c>
    </row>
    <row r="21" spans="1:7" x14ac:dyDescent="0.25">
      <c r="A21" s="110" t="s">
        <v>748</v>
      </c>
      <c r="B21" s="115">
        <f>B4*B2*(1+B7)</f>
        <v>60</v>
      </c>
      <c r="C21" s="115">
        <f>B4*B3*(1+C7)</f>
        <v>45</v>
      </c>
      <c r="D21" s="115">
        <f>B21+C21</f>
        <v>105</v>
      </c>
      <c r="E21" s="115">
        <f>(B21+C21)*$B$2</f>
        <v>52.5</v>
      </c>
      <c r="F21" s="115">
        <f>(B21+C21)*$B$3</f>
        <v>52.5</v>
      </c>
      <c r="G21" s="113">
        <f>(D21-B4)/B4</f>
        <v>0.05</v>
      </c>
    </row>
    <row r="22" spans="1:7" x14ac:dyDescent="0.25">
      <c r="A22" s="110" t="s">
        <v>749</v>
      </c>
      <c r="B22" s="115">
        <f>$E$21*(1+B8)</f>
        <v>42</v>
      </c>
      <c r="C22" s="115">
        <f>$F$21*(1+C8)</f>
        <v>57.750000000000007</v>
      </c>
      <c r="D22" s="115">
        <f>B22+C22</f>
        <v>99.75</v>
      </c>
      <c r="E22" s="115">
        <f>(B22+C22)*$B$2</f>
        <v>49.875</v>
      </c>
      <c r="F22" s="115">
        <f>(B22+C22)*$B$3</f>
        <v>49.875</v>
      </c>
      <c r="G22" s="113">
        <f>(D22-$D$21)/$D$21</f>
        <v>-0.05</v>
      </c>
    </row>
    <row r="23" spans="1:7" x14ac:dyDescent="0.25">
      <c r="A23" s="110" t="s">
        <v>750</v>
      </c>
      <c r="B23" s="115">
        <f>$E$21*(1+B9)</f>
        <v>63</v>
      </c>
      <c r="C23" s="115">
        <f>$F$21*(1+C9)</f>
        <v>57.750000000000007</v>
      </c>
      <c r="D23" s="115">
        <f>B23+C23</f>
        <v>120.75</v>
      </c>
      <c r="E23" s="115">
        <f>(B23+C23)*$B$2</f>
        <v>60.375</v>
      </c>
      <c r="F23" s="115">
        <f>(B23+C23)*$B$3</f>
        <v>60.375</v>
      </c>
      <c r="G23" s="113">
        <f>(D23-$D$21)/$D$21</f>
        <v>0.15</v>
      </c>
    </row>
    <row r="24" spans="1:7" x14ac:dyDescent="0.25">
      <c r="A24" s="110" t="s">
        <v>751</v>
      </c>
      <c r="B24" s="115">
        <f>$E$21*(1+B10)</f>
        <v>42</v>
      </c>
      <c r="C24" s="115">
        <f>$F$21*(1+C10)</f>
        <v>47.25</v>
      </c>
      <c r="D24" s="115">
        <f>B24+C24</f>
        <v>89.25</v>
      </c>
      <c r="E24" s="115">
        <f>(B24+C24)*$B$2</f>
        <v>44.625</v>
      </c>
      <c r="F24" s="115">
        <f>(B24+C24)*$B$3</f>
        <v>44.625</v>
      </c>
      <c r="G24" s="113">
        <f>(D24-$D$21)/$D$21</f>
        <v>-0.15</v>
      </c>
    </row>
    <row r="25" spans="1:7" x14ac:dyDescent="0.25">
      <c r="A25" s="110" t="s">
        <v>752</v>
      </c>
      <c r="B25" s="115">
        <f>$E$21*(1+B11)</f>
        <v>63</v>
      </c>
      <c r="C25" s="115">
        <f>$F$21*(1+C11)</f>
        <v>47.25</v>
      </c>
      <c r="D25" s="115">
        <f>B25+C25</f>
        <v>110.25</v>
      </c>
      <c r="E25" s="115">
        <f>(B25+C25)*$B$2</f>
        <v>55.125</v>
      </c>
      <c r="F25" s="115">
        <f>(B25+C25)*$B$3</f>
        <v>55.125</v>
      </c>
      <c r="G25" s="113">
        <f>(D25-$D$21)/$D$21</f>
        <v>0.05</v>
      </c>
    </row>
  </sheetData>
  <phoneticPr fontId="1" type="noConversion"/>
  <pageMargins left="0.75" right="0.75" top="1" bottom="1" header="0.5" footer="0.5"/>
  <pageSetup paperSize="9" orientation="portrait" copies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48051-713C-40D7-85FB-1B3B7CB5ECE3}">
  <dimension ref="A1:D17"/>
  <sheetViews>
    <sheetView workbookViewId="0">
      <selection activeCell="A21" sqref="A21"/>
    </sheetView>
  </sheetViews>
  <sheetFormatPr defaultRowHeight="13.2" x14ac:dyDescent="0.25"/>
  <cols>
    <col min="1" max="1" width="13.77734375" style="110" customWidth="1"/>
    <col min="2" max="4" width="9.77734375" style="110" customWidth="1"/>
    <col min="5" max="5" width="4.5546875" style="110" customWidth="1"/>
    <col min="6" max="254" width="8.6640625" style="110"/>
    <col min="255" max="255" width="5" style="110" customWidth="1"/>
    <col min="256" max="256" width="4.33203125" style="110" customWidth="1"/>
    <col min="257" max="257" width="13.6640625" style="110" customWidth="1"/>
    <col min="258" max="260" width="8.6640625" style="110"/>
    <col min="261" max="261" width="4.5546875" style="110" customWidth="1"/>
    <col min="262" max="510" width="8.6640625" style="110"/>
    <col min="511" max="511" width="5" style="110" customWidth="1"/>
    <col min="512" max="512" width="4.33203125" style="110" customWidth="1"/>
    <col min="513" max="513" width="13.6640625" style="110" customWidth="1"/>
    <col min="514" max="516" width="8.6640625" style="110"/>
    <col min="517" max="517" width="4.5546875" style="110" customWidth="1"/>
    <col min="518" max="766" width="8.6640625" style="110"/>
    <col min="767" max="767" width="5" style="110" customWidth="1"/>
    <col min="768" max="768" width="4.33203125" style="110" customWidth="1"/>
    <col min="769" max="769" width="13.6640625" style="110" customWidth="1"/>
    <col min="770" max="772" width="8.6640625" style="110"/>
    <col min="773" max="773" width="4.5546875" style="110" customWidth="1"/>
    <col min="774" max="1022" width="8.6640625" style="110"/>
    <col min="1023" max="1023" width="5" style="110" customWidth="1"/>
    <col min="1024" max="1024" width="4.33203125" style="110" customWidth="1"/>
    <col min="1025" max="1025" width="13.6640625" style="110" customWidth="1"/>
    <col min="1026" max="1028" width="8.6640625" style="110"/>
    <col min="1029" max="1029" width="4.5546875" style="110" customWidth="1"/>
    <col min="1030" max="1278" width="8.6640625" style="110"/>
    <col min="1279" max="1279" width="5" style="110" customWidth="1"/>
    <col min="1280" max="1280" width="4.33203125" style="110" customWidth="1"/>
    <col min="1281" max="1281" width="13.6640625" style="110" customWidth="1"/>
    <col min="1282" max="1284" width="8.6640625" style="110"/>
    <col min="1285" max="1285" width="4.5546875" style="110" customWidth="1"/>
    <col min="1286" max="1534" width="8.6640625" style="110"/>
    <col min="1535" max="1535" width="5" style="110" customWidth="1"/>
    <col min="1536" max="1536" width="4.33203125" style="110" customWidth="1"/>
    <col min="1537" max="1537" width="13.6640625" style="110" customWidth="1"/>
    <col min="1538" max="1540" width="8.6640625" style="110"/>
    <col min="1541" max="1541" width="4.5546875" style="110" customWidth="1"/>
    <col min="1542" max="1790" width="8.6640625" style="110"/>
    <col min="1791" max="1791" width="5" style="110" customWidth="1"/>
    <col min="1792" max="1792" width="4.33203125" style="110" customWidth="1"/>
    <col min="1793" max="1793" width="13.6640625" style="110" customWidth="1"/>
    <col min="1794" max="1796" width="8.6640625" style="110"/>
    <col min="1797" max="1797" width="4.5546875" style="110" customWidth="1"/>
    <col min="1798" max="2046" width="8.6640625" style="110"/>
    <col min="2047" max="2047" width="5" style="110" customWidth="1"/>
    <col min="2048" max="2048" width="4.33203125" style="110" customWidth="1"/>
    <col min="2049" max="2049" width="13.6640625" style="110" customWidth="1"/>
    <col min="2050" max="2052" width="8.6640625" style="110"/>
    <col min="2053" max="2053" width="4.5546875" style="110" customWidth="1"/>
    <col min="2054" max="2302" width="8.6640625" style="110"/>
    <col min="2303" max="2303" width="5" style="110" customWidth="1"/>
    <col min="2304" max="2304" width="4.33203125" style="110" customWidth="1"/>
    <col min="2305" max="2305" width="13.6640625" style="110" customWidth="1"/>
    <col min="2306" max="2308" width="8.6640625" style="110"/>
    <col min="2309" max="2309" width="4.5546875" style="110" customWidth="1"/>
    <col min="2310" max="2558" width="8.6640625" style="110"/>
    <col min="2559" max="2559" width="5" style="110" customWidth="1"/>
    <col min="2560" max="2560" width="4.33203125" style="110" customWidth="1"/>
    <col min="2561" max="2561" width="13.6640625" style="110" customWidth="1"/>
    <col min="2562" max="2564" width="8.6640625" style="110"/>
    <col min="2565" max="2565" width="4.5546875" style="110" customWidth="1"/>
    <col min="2566" max="2814" width="8.6640625" style="110"/>
    <col min="2815" max="2815" width="5" style="110" customWidth="1"/>
    <col min="2816" max="2816" width="4.33203125" style="110" customWidth="1"/>
    <col min="2817" max="2817" width="13.6640625" style="110" customWidth="1"/>
    <col min="2818" max="2820" width="8.6640625" style="110"/>
    <col min="2821" max="2821" width="4.5546875" style="110" customWidth="1"/>
    <col min="2822" max="3070" width="8.6640625" style="110"/>
    <col min="3071" max="3071" width="5" style="110" customWidth="1"/>
    <col min="3072" max="3072" width="4.33203125" style="110" customWidth="1"/>
    <col min="3073" max="3073" width="13.6640625" style="110" customWidth="1"/>
    <col min="3074" max="3076" width="8.6640625" style="110"/>
    <col min="3077" max="3077" width="4.5546875" style="110" customWidth="1"/>
    <col min="3078" max="3326" width="8.6640625" style="110"/>
    <col min="3327" max="3327" width="5" style="110" customWidth="1"/>
    <col min="3328" max="3328" width="4.33203125" style="110" customWidth="1"/>
    <col min="3329" max="3329" width="13.6640625" style="110" customWidth="1"/>
    <col min="3330" max="3332" width="8.6640625" style="110"/>
    <col min="3333" max="3333" width="4.5546875" style="110" customWidth="1"/>
    <col min="3334" max="3582" width="8.6640625" style="110"/>
    <col min="3583" max="3583" width="5" style="110" customWidth="1"/>
    <col min="3584" max="3584" width="4.33203125" style="110" customWidth="1"/>
    <col min="3585" max="3585" width="13.6640625" style="110" customWidth="1"/>
    <col min="3586" max="3588" width="8.6640625" style="110"/>
    <col min="3589" max="3589" width="4.5546875" style="110" customWidth="1"/>
    <col min="3590" max="3838" width="8.6640625" style="110"/>
    <col min="3839" max="3839" width="5" style="110" customWidth="1"/>
    <col min="3840" max="3840" width="4.33203125" style="110" customWidth="1"/>
    <col min="3841" max="3841" width="13.6640625" style="110" customWidth="1"/>
    <col min="3842" max="3844" width="8.6640625" style="110"/>
    <col min="3845" max="3845" width="4.5546875" style="110" customWidth="1"/>
    <col min="3846" max="4094" width="8.6640625" style="110"/>
    <col min="4095" max="4095" width="5" style="110" customWidth="1"/>
    <col min="4096" max="4096" width="4.33203125" style="110" customWidth="1"/>
    <col min="4097" max="4097" width="13.6640625" style="110" customWidth="1"/>
    <col min="4098" max="4100" width="8.6640625" style="110"/>
    <col min="4101" max="4101" width="4.5546875" style="110" customWidth="1"/>
    <col min="4102" max="4350" width="8.6640625" style="110"/>
    <col min="4351" max="4351" width="5" style="110" customWidth="1"/>
    <col min="4352" max="4352" width="4.33203125" style="110" customWidth="1"/>
    <col min="4353" max="4353" width="13.6640625" style="110" customWidth="1"/>
    <col min="4354" max="4356" width="8.6640625" style="110"/>
    <col min="4357" max="4357" width="4.5546875" style="110" customWidth="1"/>
    <col min="4358" max="4606" width="8.6640625" style="110"/>
    <col min="4607" max="4607" width="5" style="110" customWidth="1"/>
    <col min="4608" max="4608" width="4.33203125" style="110" customWidth="1"/>
    <col min="4609" max="4609" width="13.6640625" style="110" customWidth="1"/>
    <col min="4610" max="4612" width="8.6640625" style="110"/>
    <col min="4613" max="4613" width="4.5546875" style="110" customWidth="1"/>
    <col min="4614" max="4862" width="8.6640625" style="110"/>
    <col min="4863" max="4863" width="5" style="110" customWidth="1"/>
    <col min="4864" max="4864" width="4.33203125" style="110" customWidth="1"/>
    <col min="4865" max="4865" width="13.6640625" style="110" customWidth="1"/>
    <col min="4866" max="4868" width="8.6640625" style="110"/>
    <col min="4869" max="4869" width="4.5546875" style="110" customWidth="1"/>
    <col min="4870" max="5118" width="8.6640625" style="110"/>
    <col min="5119" max="5119" width="5" style="110" customWidth="1"/>
    <col min="5120" max="5120" width="4.33203125" style="110" customWidth="1"/>
    <col min="5121" max="5121" width="13.6640625" style="110" customWidth="1"/>
    <col min="5122" max="5124" width="8.6640625" style="110"/>
    <col min="5125" max="5125" width="4.5546875" style="110" customWidth="1"/>
    <col min="5126" max="5374" width="8.6640625" style="110"/>
    <col min="5375" max="5375" width="5" style="110" customWidth="1"/>
    <col min="5376" max="5376" width="4.33203125" style="110" customWidth="1"/>
    <col min="5377" max="5377" width="13.6640625" style="110" customWidth="1"/>
    <col min="5378" max="5380" width="8.6640625" style="110"/>
    <col min="5381" max="5381" width="4.5546875" style="110" customWidth="1"/>
    <col min="5382" max="5630" width="8.6640625" style="110"/>
    <col min="5631" max="5631" width="5" style="110" customWidth="1"/>
    <col min="5632" max="5632" width="4.33203125" style="110" customWidth="1"/>
    <col min="5633" max="5633" width="13.6640625" style="110" customWidth="1"/>
    <col min="5634" max="5636" width="8.6640625" style="110"/>
    <col min="5637" max="5637" width="4.5546875" style="110" customWidth="1"/>
    <col min="5638" max="5886" width="8.6640625" style="110"/>
    <col min="5887" max="5887" width="5" style="110" customWidth="1"/>
    <col min="5888" max="5888" width="4.33203125" style="110" customWidth="1"/>
    <col min="5889" max="5889" width="13.6640625" style="110" customWidth="1"/>
    <col min="5890" max="5892" width="8.6640625" style="110"/>
    <col min="5893" max="5893" width="4.5546875" style="110" customWidth="1"/>
    <col min="5894" max="6142" width="8.6640625" style="110"/>
    <col min="6143" max="6143" width="5" style="110" customWidth="1"/>
    <col min="6144" max="6144" width="4.33203125" style="110" customWidth="1"/>
    <col min="6145" max="6145" width="13.6640625" style="110" customWidth="1"/>
    <col min="6146" max="6148" width="8.6640625" style="110"/>
    <col min="6149" max="6149" width="4.5546875" style="110" customWidth="1"/>
    <col min="6150" max="6398" width="8.6640625" style="110"/>
    <col min="6399" max="6399" width="5" style="110" customWidth="1"/>
    <col min="6400" max="6400" width="4.33203125" style="110" customWidth="1"/>
    <col min="6401" max="6401" width="13.6640625" style="110" customWidth="1"/>
    <col min="6402" max="6404" width="8.6640625" style="110"/>
    <col min="6405" max="6405" width="4.5546875" style="110" customWidth="1"/>
    <col min="6406" max="6654" width="8.6640625" style="110"/>
    <col min="6655" max="6655" width="5" style="110" customWidth="1"/>
    <col min="6656" max="6656" width="4.33203125" style="110" customWidth="1"/>
    <col min="6657" max="6657" width="13.6640625" style="110" customWidth="1"/>
    <col min="6658" max="6660" width="8.6640625" style="110"/>
    <col min="6661" max="6661" width="4.5546875" style="110" customWidth="1"/>
    <col min="6662" max="6910" width="8.6640625" style="110"/>
    <col min="6911" max="6911" width="5" style="110" customWidth="1"/>
    <col min="6912" max="6912" width="4.33203125" style="110" customWidth="1"/>
    <col min="6913" max="6913" width="13.6640625" style="110" customWidth="1"/>
    <col min="6914" max="6916" width="8.6640625" style="110"/>
    <col min="6917" max="6917" width="4.5546875" style="110" customWidth="1"/>
    <col min="6918" max="7166" width="8.6640625" style="110"/>
    <col min="7167" max="7167" width="5" style="110" customWidth="1"/>
    <col min="7168" max="7168" width="4.33203125" style="110" customWidth="1"/>
    <col min="7169" max="7169" width="13.6640625" style="110" customWidth="1"/>
    <col min="7170" max="7172" width="8.6640625" style="110"/>
    <col min="7173" max="7173" width="4.5546875" style="110" customWidth="1"/>
    <col min="7174" max="7422" width="8.6640625" style="110"/>
    <col min="7423" max="7423" width="5" style="110" customWidth="1"/>
    <col min="7424" max="7424" width="4.33203125" style="110" customWidth="1"/>
    <col min="7425" max="7425" width="13.6640625" style="110" customWidth="1"/>
    <col min="7426" max="7428" width="8.6640625" style="110"/>
    <col min="7429" max="7429" width="4.5546875" style="110" customWidth="1"/>
    <col min="7430" max="7678" width="8.6640625" style="110"/>
    <col min="7679" max="7679" width="5" style="110" customWidth="1"/>
    <col min="7680" max="7680" width="4.33203125" style="110" customWidth="1"/>
    <col min="7681" max="7681" width="13.6640625" style="110" customWidth="1"/>
    <col min="7682" max="7684" width="8.6640625" style="110"/>
    <col min="7685" max="7685" width="4.5546875" style="110" customWidth="1"/>
    <col min="7686" max="7934" width="8.6640625" style="110"/>
    <col min="7935" max="7935" width="5" style="110" customWidth="1"/>
    <col min="7936" max="7936" width="4.33203125" style="110" customWidth="1"/>
    <col min="7937" max="7937" width="13.6640625" style="110" customWidth="1"/>
    <col min="7938" max="7940" width="8.6640625" style="110"/>
    <col min="7941" max="7941" width="4.5546875" style="110" customWidth="1"/>
    <col min="7942" max="8190" width="8.6640625" style="110"/>
    <col min="8191" max="8191" width="5" style="110" customWidth="1"/>
    <col min="8192" max="8192" width="4.33203125" style="110" customWidth="1"/>
    <col min="8193" max="8193" width="13.6640625" style="110" customWidth="1"/>
    <col min="8194" max="8196" width="8.6640625" style="110"/>
    <col min="8197" max="8197" width="4.5546875" style="110" customWidth="1"/>
    <col min="8198" max="8446" width="8.6640625" style="110"/>
    <col min="8447" max="8447" width="5" style="110" customWidth="1"/>
    <col min="8448" max="8448" width="4.33203125" style="110" customWidth="1"/>
    <col min="8449" max="8449" width="13.6640625" style="110" customWidth="1"/>
    <col min="8450" max="8452" width="8.6640625" style="110"/>
    <col min="8453" max="8453" width="4.5546875" style="110" customWidth="1"/>
    <col min="8454" max="8702" width="8.6640625" style="110"/>
    <col min="8703" max="8703" width="5" style="110" customWidth="1"/>
    <col min="8704" max="8704" width="4.33203125" style="110" customWidth="1"/>
    <col min="8705" max="8705" width="13.6640625" style="110" customWidth="1"/>
    <col min="8706" max="8708" width="8.6640625" style="110"/>
    <col min="8709" max="8709" width="4.5546875" style="110" customWidth="1"/>
    <col min="8710" max="8958" width="8.6640625" style="110"/>
    <col min="8959" max="8959" width="5" style="110" customWidth="1"/>
    <col min="8960" max="8960" width="4.33203125" style="110" customWidth="1"/>
    <col min="8961" max="8961" width="13.6640625" style="110" customWidth="1"/>
    <col min="8962" max="8964" width="8.6640625" style="110"/>
    <col min="8965" max="8965" width="4.5546875" style="110" customWidth="1"/>
    <col min="8966" max="9214" width="8.6640625" style="110"/>
    <col min="9215" max="9215" width="5" style="110" customWidth="1"/>
    <col min="9216" max="9216" width="4.33203125" style="110" customWidth="1"/>
    <col min="9217" max="9217" width="13.6640625" style="110" customWidth="1"/>
    <col min="9218" max="9220" width="8.6640625" style="110"/>
    <col min="9221" max="9221" width="4.5546875" style="110" customWidth="1"/>
    <col min="9222" max="9470" width="8.6640625" style="110"/>
    <col min="9471" max="9471" width="5" style="110" customWidth="1"/>
    <col min="9472" max="9472" width="4.33203125" style="110" customWidth="1"/>
    <col min="9473" max="9473" width="13.6640625" style="110" customWidth="1"/>
    <col min="9474" max="9476" width="8.6640625" style="110"/>
    <col min="9477" max="9477" width="4.5546875" style="110" customWidth="1"/>
    <col min="9478" max="9726" width="8.6640625" style="110"/>
    <col min="9727" max="9727" width="5" style="110" customWidth="1"/>
    <col min="9728" max="9728" width="4.33203125" style="110" customWidth="1"/>
    <col min="9729" max="9729" width="13.6640625" style="110" customWidth="1"/>
    <col min="9730" max="9732" width="8.6640625" style="110"/>
    <col min="9733" max="9733" width="4.5546875" style="110" customWidth="1"/>
    <col min="9734" max="9982" width="8.6640625" style="110"/>
    <col min="9983" max="9983" width="5" style="110" customWidth="1"/>
    <col min="9984" max="9984" width="4.33203125" style="110" customWidth="1"/>
    <col min="9985" max="9985" width="13.6640625" style="110" customWidth="1"/>
    <col min="9986" max="9988" width="8.6640625" style="110"/>
    <col min="9989" max="9989" width="4.5546875" style="110" customWidth="1"/>
    <col min="9990" max="10238" width="8.6640625" style="110"/>
    <col min="10239" max="10239" width="5" style="110" customWidth="1"/>
    <col min="10240" max="10240" width="4.33203125" style="110" customWidth="1"/>
    <col min="10241" max="10241" width="13.6640625" style="110" customWidth="1"/>
    <col min="10242" max="10244" width="8.6640625" style="110"/>
    <col min="10245" max="10245" width="4.5546875" style="110" customWidth="1"/>
    <col min="10246" max="10494" width="8.6640625" style="110"/>
    <col min="10495" max="10495" width="5" style="110" customWidth="1"/>
    <col min="10496" max="10496" width="4.33203125" style="110" customWidth="1"/>
    <col min="10497" max="10497" width="13.6640625" style="110" customWidth="1"/>
    <col min="10498" max="10500" width="8.6640625" style="110"/>
    <col min="10501" max="10501" width="4.5546875" style="110" customWidth="1"/>
    <col min="10502" max="10750" width="8.6640625" style="110"/>
    <col min="10751" max="10751" width="5" style="110" customWidth="1"/>
    <col min="10752" max="10752" width="4.33203125" style="110" customWidth="1"/>
    <col min="10753" max="10753" width="13.6640625" style="110" customWidth="1"/>
    <col min="10754" max="10756" width="8.6640625" style="110"/>
    <col min="10757" max="10757" width="4.5546875" style="110" customWidth="1"/>
    <col min="10758" max="11006" width="8.6640625" style="110"/>
    <col min="11007" max="11007" width="5" style="110" customWidth="1"/>
    <col min="11008" max="11008" width="4.33203125" style="110" customWidth="1"/>
    <col min="11009" max="11009" width="13.6640625" style="110" customWidth="1"/>
    <col min="11010" max="11012" width="8.6640625" style="110"/>
    <col min="11013" max="11013" width="4.5546875" style="110" customWidth="1"/>
    <col min="11014" max="11262" width="8.6640625" style="110"/>
    <col min="11263" max="11263" width="5" style="110" customWidth="1"/>
    <col min="11264" max="11264" width="4.33203125" style="110" customWidth="1"/>
    <col min="11265" max="11265" width="13.6640625" style="110" customWidth="1"/>
    <col min="11266" max="11268" width="8.6640625" style="110"/>
    <col min="11269" max="11269" width="4.5546875" style="110" customWidth="1"/>
    <col min="11270" max="11518" width="8.6640625" style="110"/>
    <col min="11519" max="11519" width="5" style="110" customWidth="1"/>
    <col min="11520" max="11520" width="4.33203125" style="110" customWidth="1"/>
    <col min="11521" max="11521" width="13.6640625" style="110" customWidth="1"/>
    <col min="11522" max="11524" width="8.6640625" style="110"/>
    <col min="11525" max="11525" width="4.5546875" style="110" customWidth="1"/>
    <col min="11526" max="11774" width="8.6640625" style="110"/>
    <col min="11775" max="11775" width="5" style="110" customWidth="1"/>
    <col min="11776" max="11776" width="4.33203125" style="110" customWidth="1"/>
    <col min="11777" max="11777" width="13.6640625" style="110" customWidth="1"/>
    <col min="11778" max="11780" width="8.6640625" style="110"/>
    <col min="11781" max="11781" width="4.5546875" style="110" customWidth="1"/>
    <col min="11782" max="12030" width="8.6640625" style="110"/>
    <col min="12031" max="12031" width="5" style="110" customWidth="1"/>
    <col min="12032" max="12032" width="4.33203125" style="110" customWidth="1"/>
    <col min="12033" max="12033" width="13.6640625" style="110" customWidth="1"/>
    <col min="12034" max="12036" width="8.6640625" style="110"/>
    <col min="12037" max="12037" width="4.5546875" style="110" customWidth="1"/>
    <col min="12038" max="12286" width="8.6640625" style="110"/>
    <col min="12287" max="12287" width="5" style="110" customWidth="1"/>
    <col min="12288" max="12288" width="4.33203125" style="110" customWidth="1"/>
    <col min="12289" max="12289" width="13.6640625" style="110" customWidth="1"/>
    <col min="12290" max="12292" width="8.6640625" style="110"/>
    <col min="12293" max="12293" width="4.5546875" style="110" customWidth="1"/>
    <col min="12294" max="12542" width="8.6640625" style="110"/>
    <col min="12543" max="12543" width="5" style="110" customWidth="1"/>
    <col min="12544" max="12544" width="4.33203125" style="110" customWidth="1"/>
    <col min="12545" max="12545" width="13.6640625" style="110" customWidth="1"/>
    <col min="12546" max="12548" width="8.6640625" style="110"/>
    <col min="12549" max="12549" width="4.5546875" style="110" customWidth="1"/>
    <col min="12550" max="12798" width="8.6640625" style="110"/>
    <col min="12799" max="12799" width="5" style="110" customWidth="1"/>
    <col min="12800" max="12800" width="4.33203125" style="110" customWidth="1"/>
    <col min="12801" max="12801" width="13.6640625" style="110" customWidth="1"/>
    <col min="12802" max="12804" width="8.6640625" style="110"/>
    <col min="12805" max="12805" width="4.5546875" style="110" customWidth="1"/>
    <col min="12806" max="13054" width="8.6640625" style="110"/>
    <col min="13055" max="13055" width="5" style="110" customWidth="1"/>
    <col min="13056" max="13056" width="4.33203125" style="110" customWidth="1"/>
    <col min="13057" max="13057" width="13.6640625" style="110" customWidth="1"/>
    <col min="13058" max="13060" width="8.6640625" style="110"/>
    <col min="13061" max="13061" width="4.5546875" style="110" customWidth="1"/>
    <col min="13062" max="13310" width="8.6640625" style="110"/>
    <col min="13311" max="13311" width="5" style="110" customWidth="1"/>
    <col min="13312" max="13312" width="4.33203125" style="110" customWidth="1"/>
    <col min="13313" max="13313" width="13.6640625" style="110" customWidth="1"/>
    <col min="13314" max="13316" width="8.6640625" style="110"/>
    <col min="13317" max="13317" width="4.5546875" style="110" customWidth="1"/>
    <col min="13318" max="13566" width="8.6640625" style="110"/>
    <col min="13567" max="13567" width="5" style="110" customWidth="1"/>
    <col min="13568" max="13568" width="4.33203125" style="110" customWidth="1"/>
    <col min="13569" max="13569" width="13.6640625" style="110" customWidth="1"/>
    <col min="13570" max="13572" width="8.6640625" style="110"/>
    <col min="13573" max="13573" width="4.5546875" style="110" customWidth="1"/>
    <col min="13574" max="13822" width="8.6640625" style="110"/>
    <col min="13823" max="13823" width="5" style="110" customWidth="1"/>
    <col min="13824" max="13824" width="4.33203125" style="110" customWidth="1"/>
    <col min="13825" max="13825" width="13.6640625" style="110" customWidth="1"/>
    <col min="13826" max="13828" width="8.6640625" style="110"/>
    <col min="13829" max="13829" width="4.5546875" style="110" customWidth="1"/>
    <col min="13830" max="14078" width="8.6640625" style="110"/>
    <col min="14079" max="14079" width="5" style="110" customWidth="1"/>
    <col min="14080" max="14080" width="4.33203125" style="110" customWidth="1"/>
    <col min="14081" max="14081" width="13.6640625" style="110" customWidth="1"/>
    <col min="14082" max="14084" width="8.6640625" style="110"/>
    <col min="14085" max="14085" width="4.5546875" style="110" customWidth="1"/>
    <col min="14086" max="14334" width="8.6640625" style="110"/>
    <col min="14335" max="14335" width="5" style="110" customWidth="1"/>
    <col min="14336" max="14336" width="4.33203125" style="110" customWidth="1"/>
    <col min="14337" max="14337" width="13.6640625" style="110" customWidth="1"/>
    <col min="14338" max="14340" width="8.6640625" style="110"/>
    <col min="14341" max="14341" width="4.5546875" style="110" customWidth="1"/>
    <col min="14342" max="14590" width="8.6640625" style="110"/>
    <col min="14591" max="14591" width="5" style="110" customWidth="1"/>
    <col min="14592" max="14592" width="4.33203125" style="110" customWidth="1"/>
    <col min="14593" max="14593" width="13.6640625" style="110" customWidth="1"/>
    <col min="14594" max="14596" width="8.6640625" style="110"/>
    <col min="14597" max="14597" width="4.5546875" style="110" customWidth="1"/>
    <col min="14598" max="14846" width="8.6640625" style="110"/>
    <col min="14847" max="14847" width="5" style="110" customWidth="1"/>
    <col min="14848" max="14848" width="4.33203125" style="110" customWidth="1"/>
    <col min="14849" max="14849" width="13.6640625" style="110" customWidth="1"/>
    <col min="14850" max="14852" width="8.6640625" style="110"/>
    <col min="14853" max="14853" width="4.5546875" style="110" customWidth="1"/>
    <col min="14854" max="15102" width="8.6640625" style="110"/>
    <col min="15103" max="15103" width="5" style="110" customWidth="1"/>
    <col min="15104" max="15104" width="4.33203125" style="110" customWidth="1"/>
    <col min="15105" max="15105" width="13.6640625" style="110" customWidth="1"/>
    <col min="15106" max="15108" width="8.6640625" style="110"/>
    <col min="15109" max="15109" width="4.5546875" style="110" customWidth="1"/>
    <col min="15110" max="15358" width="8.6640625" style="110"/>
    <col min="15359" max="15359" width="5" style="110" customWidth="1"/>
    <col min="15360" max="15360" width="4.33203125" style="110" customWidth="1"/>
    <col min="15361" max="15361" width="13.6640625" style="110" customWidth="1"/>
    <col min="15362" max="15364" width="8.6640625" style="110"/>
    <col min="15365" max="15365" width="4.5546875" style="110" customWidth="1"/>
    <col min="15366" max="15614" width="8.6640625" style="110"/>
    <col min="15615" max="15615" width="5" style="110" customWidth="1"/>
    <col min="15616" max="15616" width="4.33203125" style="110" customWidth="1"/>
    <col min="15617" max="15617" width="13.6640625" style="110" customWidth="1"/>
    <col min="15618" max="15620" width="8.6640625" style="110"/>
    <col min="15621" max="15621" width="4.5546875" style="110" customWidth="1"/>
    <col min="15622" max="15870" width="8.6640625" style="110"/>
    <col min="15871" max="15871" width="5" style="110" customWidth="1"/>
    <col min="15872" max="15872" width="4.33203125" style="110" customWidth="1"/>
    <col min="15873" max="15873" width="13.6640625" style="110" customWidth="1"/>
    <col min="15874" max="15876" width="8.6640625" style="110"/>
    <col min="15877" max="15877" width="4.5546875" style="110" customWidth="1"/>
    <col min="15878" max="16126" width="8.6640625" style="110"/>
    <col min="16127" max="16127" width="5" style="110" customWidth="1"/>
    <col min="16128" max="16128" width="4.33203125" style="110" customWidth="1"/>
    <col min="16129" max="16129" width="13.6640625" style="110" customWidth="1"/>
    <col min="16130" max="16132" width="8.6640625" style="110"/>
    <col min="16133" max="16133" width="4.5546875" style="110" customWidth="1"/>
    <col min="16134" max="16382" width="8.6640625" style="110"/>
    <col min="16383" max="16384" width="8.6640625" style="110" customWidth="1"/>
  </cols>
  <sheetData>
    <row r="1" spans="1:4" x14ac:dyDescent="0.25">
      <c r="A1" s="121" t="s">
        <v>764</v>
      </c>
    </row>
    <row r="3" spans="1:4" x14ac:dyDescent="0.25">
      <c r="A3" s="131" t="s">
        <v>765</v>
      </c>
      <c r="B3" s="132"/>
      <c r="C3" s="132"/>
      <c r="D3" s="132"/>
    </row>
    <row r="4" spans="1:4" ht="13.8" thickBot="1" x14ac:dyDescent="0.3">
      <c r="A4" s="122" t="s">
        <v>766</v>
      </c>
      <c r="B4" s="122" t="s">
        <v>707</v>
      </c>
      <c r="C4" s="122" t="s">
        <v>767</v>
      </c>
      <c r="D4" s="122" t="s">
        <v>768</v>
      </c>
    </row>
    <row r="5" spans="1:4" ht="13.8" thickTop="1" x14ac:dyDescent="0.25">
      <c r="A5" s="110">
        <v>0</v>
      </c>
      <c r="B5" s="110">
        <v>5000</v>
      </c>
      <c r="C5" s="110">
        <v>0</v>
      </c>
      <c r="D5" s="110">
        <f>C5-B5</f>
        <v>-5000</v>
      </c>
    </row>
    <row r="6" spans="1:4" x14ac:dyDescent="0.25">
      <c r="A6" s="110">
        <v>1</v>
      </c>
      <c r="B6" s="110">
        <v>5300</v>
      </c>
      <c r="C6" s="110">
        <v>200</v>
      </c>
      <c r="D6" s="110">
        <f>C6-B6</f>
        <v>-5100</v>
      </c>
    </row>
    <row r="7" spans="1:4" x14ac:dyDescent="0.25">
      <c r="A7" s="110">
        <v>2</v>
      </c>
      <c r="B7" s="110">
        <v>0</v>
      </c>
      <c r="C7" s="110">
        <v>11200</v>
      </c>
      <c r="D7" s="110">
        <f>C7-B7</f>
        <v>11200</v>
      </c>
    </row>
    <row r="9" spans="1:4" x14ac:dyDescent="0.25">
      <c r="A9" s="116" t="s">
        <v>769</v>
      </c>
      <c r="B9" s="118">
        <f>IRR(D5:D7)</f>
        <v>7.1170452544551122E-2</v>
      </c>
      <c r="C9" s="119" t="s">
        <v>824</v>
      </c>
      <c r="D9" s="116"/>
    </row>
    <row r="11" spans="1:4" x14ac:dyDescent="0.25">
      <c r="A11" s="131" t="s">
        <v>770</v>
      </c>
      <c r="B11" s="132"/>
      <c r="C11" s="132"/>
      <c r="D11" s="132"/>
    </row>
    <row r="12" spans="1:4" ht="13.8" thickBot="1" x14ac:dyDescent="0.3">
      <c r="A12" s="122" t="s">
        <v>766</v>
      </c>
      <c r="B12" s="122" t="s">
        <v>771</v>
      </c>
      <c r="C12" s="122" t="s">
        <v>772</v>
      </c>
      <c r="D12" s="122" t="s">
        <v>773</v>
      </c>
    </row>
    <row r="13" spans="1:4" ht="13.8" thickTop="1" x14ac:dyDescent="0.25">
      <c r="A13" s="110">
        <v>0</v>
      </c>
      <c r="B13" s="110">
        <v>5000</v>
      </c>
    </row>
    <row r="14" spans="1:4" x14ac:dyDescent="0.25">
      <c r="A14" s="110">
        <v>1</v>
      </c>
      <c r="B14" s="110">
        <v>5300</v>
      </c>
      <c r="C14" s="110">
        <v>200</v>
      </c>
      <c r="D14" s="117">
        <f>(C14+B14-B13)/B13</f>
        <v>0.1</v>
      </c>
    </row>
    <row r="15" spans="1:4" x14ac:dyDescent="0.25">
      <c r="A15" s="110">
        <v>2</v>
      </c>
      <c r="B15" s="110">
        <v>5400</v>
      </c>
      <c r="C15" s="110">
        <v>200</v>
      </c>
      <c r="D15" s="117">
        <f>(B15+C15-B14)/B14</f>
        <v>5.6603773584905662E-2</v>
      </c>
    </row>
    <row r="17" spans="1:4" x14ac:dyDescent="0.25">
      <c r="A17" s="116" t="s">
        <v>774</v>
      </c>
      <c r="B17" s="120">
        <f>(D14+D15)/2</f>
        <v>7.8301886792452841E-2</v>
      </c>
      <c r="C17" s="119" t="s">
        <v>825</v>
      </c>
      <c r="D17" s="116"/>
    </row>
  </sheetData>
  <phoneticPr fontId="1" type="noConversion"/>
  <pageMargins left="0.75" right="0.75" top="1" bottom="1" header="0.5" footer="0.5"/>
  <pageSetup paperSize="9" orientation="portrait" copies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2B229-C7FA-4164-891B-3D3B5C6E7C1D}">
  <dimension ref="A1:D8"/>
  <sheetViews>
    <sheetView workbookViewId="0">
      <selection activeCell="A12" sqref="A12"/>
    </sheetView>
  </sheetViews>
  <sheetFormatPr defaultRowHeight="13.2" x14ac:dyDescent="0.25"/>
  <cols>
    <col min="1" max="3" width="11.77734375" style="110" customWidth="1"/>
    <col min="4" max="4" width="8.6640625" style="110"/>
    <col min="5" max="5" width="9.109375" style="110" customWidth="1"/>
    <col min="6" max="254" width="8.6640625" style="110"/>
    <col min="255" max="256" width="4.5546875" style="110" customWidth="1"/>
    <col min="257" max="260" width="8.6640625" style="110"/>
    <col min="261" max="261" width="7.5546875" style="110" customWidth="1"/>
    <col min="262" max="510" width="8.6640625" style="110"/>
    <col min="511" max="512" width="4.5546875" style="110" customWidth="1"/>
    <col min="513" max="516" width="8.6640625" style="110"/>
    <col min="517" max="517" width="7.5546875" style="110" customWidth="1"/>
    <col min="518" max="766" width="8.6640625" style="110"/>
    <col min="767" max="768" width="4.5546875" style="110" customWidth="1"/>
    <col min="769" max="772" width="8.6640625" style="110"/>
    <col min="773" max="773" width="7.5546875" style="110" customWidth="1"/>
    <col min="774" max="1022" width="8.6640625" style="110"/>
    <col min="1023" max="1024" width="4.5546875" style="110" customWidth="1"/>
    <col min="1025" max="1028" width="8.6640625" style="110"/>
    <col min="1029" max="1029" width="7.5546875" style="110" customWidth="1"/>
    <col min="1030" max="1278" width="8.6640625" style="110"/>
    <col min="1279" max="1280" width="4.5546875" style="110" customWidth="1"/>
    <col min="1281" max="1284" width="8.6640625" style="110"/>
    <col min="1285" max="1285" width="7.5546875" style="110" customWidth="1"/>
    <col min="1286" max="1534" width="8.6640625" style="110"/>
    <col min="1535" max="1536" width="4.5546875" style="110" customWidth="1"/>
    <col min="1537" max="1540" width="8.6640625" style="110"/>
    <col min="1541" max="1541" width="7.5546875" style="110" customWidth="1"/>
    <col min="1542" max="1790" width="8.6640625" style="110"/>
    <col min="1791" max="1792" width="4.5546875" style="110" customWidth="1"/>
    <col min="1793" max="1796" width="8.6640625" style="110"/>
    <col min="1797" max="1797" width="7.5546875" style="110" customWidth="1"/>
    <col min="1798" max="2046" width="8.6640625" style="110"/>
    <col min="2047" max="2048" width="4.5546875" style="110" customWidth="1"/>
    <col min="2049" max="2052" width="8.6640625" style="110"/>
    <col min="2053" max="2053" width="7.5546875" style="110" customWidth="1"/>
    <col min="2054" max="2302" width="8.6640625" style="110"/>
    <col min="2303" max="2304" width="4.5546875" style="110" customWidth="1"/>
    <col min="2305" max="2308" width="8.6640625" style="110"/>
    <col min="2309" max="2309" width="7.5546875" style="110" customWidth="1"/>
    <col min="2310" max="2558" width="8.6640625" style="110"/>
    <col min="2559" max="2560" width="4.5546875" style="110" customWidth="1"/>
    <col min="2561" max="2564" width="8.6640625" style="110"/>
    <col min="2565" max="2565" width="7.5546875" style="110" customWidth="1"/>
    <col min="2566" max="2814" width="8.6640625" style="110"/>
    <col min="2815" max="2816" width="4.5546875" style="110" customWidth="1"/>
    <col min="2817" max="2820" width="8.6640625" style="110"/>
    <col min="2821" max="2821" width="7.5546875" style="110" customWidth="1"/>
    <col min="2822" max="3070" width="8.6640625" style="110"/>
    <col min="3071" max="3072" width="4.5546875" style="110" customWidth="1"/>
    <col min="3073" max="3076" width="8.6640625" style="110"/>
    <col min="3077" max="3077" width="7.5546875" style="110" customWidth="1"/>
    <col min="3078" max="3326" width="8.6640625" style="110"/>
    <col min="3327" max="3328" width="4.5546875" style="110" customWidth="1"/>
    <col min="3329" max="3332" width="8.6640625" style="110"/>
    <col min="3333" max="3333" width="7.5546875" style="110" customWidth="1"/>
    <col min="3334" max="3582" width="8.6640625" style="110"/>
    <col min="3583" max="3584" width="4.5546875" style="110" customWidth="1"/>
    <col min="3585" max="3588" width="8.6640625" style="110"/>
    <col min="3589" max="3589" width="7.5546875" style="110" customWidth="1"/>
    <col min="3590" max="3838" width="8.6640625" style="110"/>
    <col min="3839" max="3840" width="4.5546875" style="110" customWidth="1"/>
    <col min="3841" max="3844" width="8.6640625" style="110"/>
    <col min="3845" max="3845" width="7.5546875" style="110" customWidth="1"/>
    <col min="3846" max="4094" width="8.6640625" style="110"/>
    <col min="4095" max="4096" width="4.5546875" style="110" customWidth="1"/>
    <col min="4097" max="4100" width="8.6640625" style="110"/>
    <col min="4101" max="4101" width="7.5546875" style="110" customWidth="1"/>
    <col min="4102" max="4350" width="8.6640625" style="110"/>
    <col min="4351" max="4352" width="4.5546875" style="110" customWidth="1"/>
    <col min="4353" max="4356" width="8.6640625" style="110"/>
    <col min="4357" max="4357" width="7.5546875" style="110" customWidth="1"/>
    <col min="4358" max="4606" width="8.6640625" style="110"/>
    <col min="4607" max="4608" width="4.5546875" style="110" customWidth="1"/>
    <col min="4609" max="4612" width="8.6640625" style="110"/>
    <col min="4613" max="4613" width="7.5546875" style="110" customWidth="1"/>
    <col min="4614" max="4862" width="8.6640625" style="110"/>
    <col min="4863" max="4864" width="4.5546875" style="110" customWidth="1"/>
    <col min="4865" max="4868" width="8.6640625" style="110"/>
    <col min="4869" max="4869" width="7.5546875" style="110" customWidth="1"/>
    <col min="4870" max="5118" width="8.6640625" style="110"/>
    <col min="5119" max="5120" width="4.5546875" style="110" customWidth="1"/>
    <col min="5121" max="5124" width="8.6640625" style="110"/>
    <col min="5125" max="5125" width="7.5546875" style="110" customWidth="1"/>
    <col min="5126" max="5374" width="8.6640625" style="110"/>
    <col min="5375" max="5376" width="4.5546875" style="110" customWidth="1"/>
    <col min="5377" max="5380" width="8.6640625" style="110"/>
    <col min="5381" max="5381" width="7.5546875" style="110" customWidth="1"/>
    <col min="5382" max="5630" width="8.6640625" style="110"/>
    <col min="5631" max="5632" width="4.5546875" style="110" customWidth="1"/>
    <col min="5633" max="5636" width="8.6640625" style="110"/>
    <col min="5637" max="5637" width="7.5546875" style="110" customWidth="1"/>
    <col min="5638" max="5886" width="8.6640625" style="110"/>
    <col min="5887" max="5888" width="4.5546875" style="110" customWidth="1"/>
    <col min="5889" max="5892" width="8.6640625" style="110"/>
    <col min="5893" max="5893" width="7.5546875" style="110" customWidth="1"/>
    <col min="5894" max="6142" width="8.6640625" style="110"/>
    <col min="6143" max="6144" width="4.5546875" style="110" customWidth="1"/>
    <col min="6145" max="6148" width="8.6640625" style="110"/>
    <col min="6149" max="6149" width="7.5546875" style="110" customWidth="1"/>
    <col min="6150" max="6398" width="8.6640625" style="110"/>
    <col min="6399" max="6400" width="4.5546875" style="110" customWidth="1"/>
    <col min="6401" max="6404" width="8.6640625" style="110"/>
    <col min="6405" max="6405" width="7.5546875" style="110" customWidth="1"/>
    <col min="6406" max="6654" width="8.6640625" style="110"/>
    <col min="6655" max="6656" width="4.5546875" style="110" customWidth="1"/>
    <col min="6657" max="6660" width="8.6640625" style="110"/>
    <col min="6661" max="6661" width="7.5546875" style="110" customWidth="1"/>
    <col min="6662" max="6910" width="8.6640625" style="110"/>
    <col min="6911" max="6912" width="4.5546875" style="110" customWidth="1"/>
    <col min="6913" max="6916" width="8.6640625" style="110"/>
    <col min="6917" max="6917" width="7.5546875" style="110" customWidth="1"/>
    <col min="6918" max="7166" width="8.6640625" style="110"/>
    <col min="7167" max="7168" width="4.5546875" style="110" customWidth="1"/>
    <col min="7169" max="7172" width="8.6640625" style="110"/>
    <col min="7173" max="7173" width="7.5546875" style="110" customWidth="1"/>
    <col min="7174" max="7422" width="8.6640625" style="110"/>
    <col min="7423" max="7424" width="4.5546875" style="110" customWidth="1"/>
    <col min="7425" max="7428" width="8.6640625" style="110"/>
    <col min="7429" max="7429" width="7.5546875" style="110" customWidth="1"/>
    <col min="7430" max="7678" width="8.6640625" style="110"/>
    <col min="7679" max="7680" width="4.5546875" style="110" customWidth="1"/>
    <col min="7681" max="7684" width="8.6640625" style="110"/>
    <col min="7685" max="7685" width="7.5546875" style="110" customWidth="1"/>
    <col min="7686" max="7934" width="8.6640625" style="110"/>
    <col min="7935" max="7936" width="4.5546875" style="110" customWidth="1"/>
    <col min="7937" max="7940" width="8.6640625" style="110"/>
    <col min="7941" max="7941" width="7.5546875" style="110" customWidth="1"/>
    <col min="7942" max="8190" width="8.6640625" style="110"/>
    <col min="8191" max="8192" width="4.5546875" style="110" customWidth="1"/>
    <col min="8193" max="8196" width="8.6640625" style="110"/>
    <col min="8197" max="8197" width="7.5546875" style="110" customWidth="1"/>
    <col min="8198" max="8446" width="8.6640625" style="110"/>
    <col min="8447" max="8448" width="4.5546875" style="110" customWidth="1"/>
    <col min="8449" max="8452" width="8.6640625" style="110"/>
    <col min="8453" max="8453" width="7.5546875" style="110" customWidth="1"/>
    <col min="8454" max="8702" width="8.6640625" style="110"/>
    <col min="8703" max="8704" width="4.5546875" style="110" customWidth="1"/>
    <col min="8705" max="8708" width="8.6640625" style="110"/>
    <col min="8709" max="8709" width="7.5546875" style="110" customWidth="1"/>
    <col min="8710" max="8958" width="8.6640625" style="110"/>
    <col min="8959" max="8960" width="4.5546875" style="110" customWidth="1"/>
    <col min="8961" max="8964" width="8.6640625" style="110"/>
    <col min="8965" max="8965" width="7.5546875" style="110" customWidth="1"/>
    <col min="8966" max="9214" width="8.6640625" style="110"/>
    <col min="9215" max="9216" width="4.5546875" style="110" customWidth="1"/>
    <col min="9217" max="9220" width="8.6640625" style="110"/>
    <col min="9221" max="9221" width="7.5546875" style="110" customWidth="1"/>
    <col min="9222" max="9470" width="8.6640625" style="110"/>
    <col min="9471" max="9472" width="4.5546875" style="110" customWidth="1"/>
    <col min="9473" max="9476" width="8.6640625" style="110"/>
    <col min="9477" max="9477" width="7.5546875" style="110" customWidth="1"/>
    <col min="9478" max="9726" width="8.6640625" style="110"/>
    <col min="9727" max="9728" width="4.5546875" style="110" customWidth="1"/>
    <col min="9729" max="9732" width="8.6640625" style="110"/>
    <col min="9733" max="9733" width="7.5546875" style="110" customWidth="1"/>
    <col min="9734" max="9982" width="8.6640625" style="110"/>
    <col min="9983" max="9984" width="4.5546875" style="110" customWidth="1"/>
    <col min="9985" max="9988" width="8.6640625" style="110"/>
    <col min="9989" max="9989" width="7.5546875" style="110" customWidth="1"/>
    <col min="9990" max="10238" width="8.6640625" style="110"/>
    <col min="10239" max="10240" width="4.5546875" style="110" customWidth="1"/>
    <col min="10241" max="10244" width="8.6640625" style="110"/>
    <col min="10245" max="10245" width="7.5546875" style="110" customWidth="1"/>
    <col min="10246" max="10494" width="8.6640625" style="110"/>
    <col min="10495" max="10496" width="4.5546875" style="110" customWidth="1"/>
    <col min="10497" max="10500" width="8.6640625" style="110"/>
    <col min="10501" max="10501" width="7.5546875" style="110" customWidth="1"/>
    <col min="10502" max="10750" width="8.6640625" style="110"/>
    <col min="10751" max="10752" width="4.5546875" style="110" customWidth="1"/>
    <col min="10753" max="10756" width="8.6640625" style="110"/>
    <col min="10757" max="10757" width="7.5546875" style="110" customWidth="1"/>
    <col min="10758" max="11006" width="8.6640625" style="110"/>
    <col min="11007" max="11008" width="4.5546875" style="110" customWidth="1"/>
    <col min="11009" max="11012" width="8.6640625" style="110"/>
    <col min="11013" max="11013" width="7.5546875" style="110" customWidth="1"/>
    <col min="11014" max="11262" width="8.6640625" style="110"/>
    <col min="11263" max="11264" width="4.5546875" style="110" customWidth="1"/>
    <col min="11265" max="11268" width="8.6640625" style="110"/>
    <col min="11269" max="11269" width="7.5546875" style="110" customWidth="1"/>
    <col min="11270" max="11518" width="8.6640625" style="110"/>
    <col min="11519" max="11520" width="4.5546875" style="110" customWidth="1"/>
    <col min="11521" max="11524" width="8.6640625" style="110"/>
    <col min="11525" max="11525" width="7.5546875" style="110" customWidth="1"/>
    <col min="11526" max="11774" width="8.6640625" style="110"/>
    <col min="11775" max="11776" width="4.5546875" style="110" customWidth="1"/>
    <col min="11777" max="11780" width="8.6640625" style="110"/>
    <col min="11781" max="11781" width="7.5546875" style="110" customWidth="1"/>
    <col min="11782" max="12030" width="8.6640625" style="110"/>
    <col min="12031" max="12032" width="4.5546875" style="110" customWidth="1"/>
    <col min="12033" max="12036" width="8.6640625" style="110"/>
    <col min="12037" max="12037" width="7.5546875" style="110" customWidth="1"/>
    <col min="12038" max="12286" width="8.6640625" style="110"/>
    <col min="12287" max="12288" width="4.5546875" style="110" customWidth="1"/>
    <col min="12289" max="12292" width="8.6640625" style="110"/>
    <col min="12293" max="12293" width="7.5546875" style="110" customWidth="1"/>
    <col min="12294" max="12542" width="8.6640625" style="110"/>
    <col min="12543" max="12544" width="4.5546875" style="110" customWidth="1"/>
    <col min="12545" max="12548" width="8.6640625" style="110"/>
    <col min="12549" max="12549" width="7.5546875" style="110" customWidth="1"/>
    <col min="12550" max="12798" width="8.6640625" style="110"/>
    <col min="12799" max="12800" width="4.5546875" style="110" customWidth="1"/>
    <col min="12801" max="12804" width="8.6640625" style="110"/>
    <col min="12805" max="12805" width="7.5546875" style="110" customWidth="1"/>
    <col min="12806" max="13054" width="8.6640625" style="110"/>
    <col min="13055" max="13056" width="4.5546875" style="110" customWidth="1"/>
    <col min="13057" max="13060" width="8.6640625" style="110"/>
    <col min="13061" max="13061" width="7.5546875" style="110" customWidth="1"/>
    <col min="13062" max="13310" width="8.6640625" style="110"/>
    <col min="13311" max="13312" width="4.5546875" style="110" customWidth="1"/>
    <col min="13313" max="13316" width="8.6640625" style="110"/>
    <col min="13317" max="13317" width="7.5546875" style="110" customWidth="1"/>
    <col min="13318" max="13566" width="8.6640625" style="110"/>
    <col min="13567" max="13568" width="4.5546875" style="110" customWidth="1"/>
    <col min="13569" max="13572" width="8.6640625" style="110"/>
    <col min="13573" max="13573" width="7.5546875" style="110" customWidth="1"/>
    <col min="13574" max="13822" width="8.6640625" style="110"/>
    <col min="13823" max="13824" width="4.5546875" style="110" customWidth="1"/>
    <col min="13825" max="13828" width="8.6640625" style="110"/>
    <col min="13829" max="13829" width="7.5546875" style="110" customWidth="1"/>
    <col min="13830" max="14078" width="8.6640625" style="110"/>
    <col min="14079" max="14080" width="4.5546875" style="110" customWidth="1"/>
    <col min="14081" max="14084" width="8.6640625" style="110"/>
    <col min="14085" max="14085" width="7.5546875" style="110" customWidth="1"/>
    <col min="14086" max="14334" width="8.6640625" style="110"/>
    <col min="14335" max="14336" width="4.5546875" style="110" customWidth="1"/>
    <col min="14337" max="14340" width="8.6640625" style="110"/>
    <col min="14341" max="14341" width="7.5546875" style="110" customWidth="1"/>
    <col min="14342" max="14590" width="8.6640625" style="110"/>
    <col min="14591" max="14592" width="4.5546875" style="110" customWidth="1"/>
    <col min="14593" max="14596" width="8.6640625" style="110"/>
    <col min="14597" max="14597" width="7.5546875" style="110" customWidth="1"/>
    <col min="14598" max="14846" width="8.6640625" style="110"/>
    <col min="14847" max="14848" width="4.5546875" style="110" customWidth="1"/>
    <col min="14849" max="14852" width="8.6640625" style="110"/>
    <col min="14853" max="14853" width="7.5546875" style="110" customWidth="1"/>
    <col min="14854" max="15102" width="8.6640625" style="110"/>
    <col min="15103" max="15104" width="4.5546875" style="110" customWidth="1"/>
    <col min="15105" max="15108" width="8.6640625" style="110"/>
    <col min="15109" max="15109" width="7.5546875" style="110" customWidth="1"/>
    <col min="15110" max="15358" width="8.6640625" style="110"/>
    <col min="15359" max="15360" width="4.5546875" style="110" customWidth="1"/>
    <col min="15361" max="15364" width="8.6640625" style="110"/>
    <col min="15365" max="15365" width="7.5546875" style="110" customWidth="1"/>
    <col min="15366" max="15614" width="8.6640625" style="110"/>
    <col min="15615" max="15616" width="4.5546875" style="110" customWidth="1"/>
    <col min="15617" max="15620" width="8.6640625" style="110"/>
    <col min="15621" max="15621" width="7.5546875" style="110" customWidth="1"/>
    <col min="15622" max="15870" width="8.6640625" style="110"/>
    <col min="15871" max="15872" width="4.5546875" style="110" customWidth="1"/>
    <col min="15873" max="15876" width="8.6640625" style="110"/>
    <col min="15877" max="15877" width="7.5546875" style="110" customWidth="1"/>
    <col min="15878" max="16126" width="8.6640625" style="110"/>
    <col min="16127" max="16128" width="4.5546875" style="110" customWidth="1"/>
    <col min="16129" max="16132" width="8.6640625" style="110"/>
    <col min="16133" max="16133" width="7.5546875" style="110" customWidth="1"/>
    <col min="16134" max="16382" width="8.6640625" style="110"/>
    <col min="16383" max="16384" width="8.6640625" style="110" customWidth="1"/>
  </cols>
  <sheetData>
    <row r="1" spans="1:4" x14ac:dyDescent="0.25">
      <c r="A1" s="121" t="s">
        <v>775</v>
      </c>
    </row>
    <row r="3" spans="1:4" ht="13.8" thickBot="1" x14ac:dyDescent="0.3">
      <c r="A3" s="122" t="s">
        <v>766</v>
      </c>
      <c r="B3" s="122" t="s">
        <v>277</v>
      </c>
      <c r="C3" s="124" t="s">
        <v>776</v>
      </c>
    </row>
    <row r="4" spans="1:4" ht="13.8" thickTop="1" x14ac:dyDescent="0.25">
      <c r="A4" s="110">
        <v>1</v>
      </c>
      <c r="B4" s="117">
        <f>0.1</f>
        <v>0.1</v>
      </c>
      <c r="C4" s="110">
        <f>1+B4</f>
        <v>1.1000000000000001</v>
      </c>
    </row>
    <row r="5" spans="1:4" x14ac:dyDescent="0.25">
      <c r="A5" s="110">
        <v>2</v>
      </c>
      <c r="B5" s="117">
        <f>0.0566</f>
        <v>5.6599999999999998E-2</v>
      </c>
      <c r="C5" s="110">
        <f>1+B5</f>
        <v>1.0566</v>
      </c>
    </row>
    <row r="7" spans="1:4" x14ac:dyDescent="0.25">
      <c r="A7" s="116" t="s">
        <v>778</v>
      </c>
      <c r="B7" s="123">
        <f>AVERAGE(B4:B5)</f>
        <v>7.8300000000000008E-2</v>
      </c>
      <c r="C7" s="119" t="s">
        <v>826</v>
      </c>
      <c r="D7" s="116"/>
    </row>
    <row r="8" spans="1:4" x14ac:dyDescent="0.25">
      <c r="A8" s="116" t="s">
        <v>777</v>
      </c>
      <c r="B8" s="123">
        <f>GEOMEAN(C4:C5)-1</f>
        <v>7.8081629562437138E-2</v>
      </c>
      <c r="C8" s="119" t="s">
        <v>827</v>
      </c>
      <c r="D8" s="116"/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3-1 data</vt:lpstr>
      <vt:lpstr>3-1 stat</vt:lpstr>
      <vt:lpstr>3-2 분산투자</vt:lpstr>
      <vt:lpstr>3-3 수익률</vt:lpstr>
      <vt:lpstr>4-1 CAL</vt:lpstr>
      <vt:lpstr>4-2 포트폴리오 구성</vt:lpstr>
      <vt:lpstr>4-3 EGP 알고리즘</vt:lpstr>
      <vt:lpstr>4-4 solver</vt:lpstr>
      <vt:lpstr>5-1 시장모형</vt:lpstr>
      <vt:lpstr>5-2 베타 사례</vt:lpstr>
      <vt:lpstr>8-1 채권가격</vt:lpstr>
      <vt:lpstr>8-2 듀레이션</vt:lpstr>
      <vt:lpstr>8-3 채권면역</vt:lpstr>
      <vt:lpstr>9-1 이항분포</vt:lpstr>
      <vt:lpstr>9-2 블랙숄즈</vt:lpstr>
      <vt:lpstr>13-1 rebalancing</vt:lpstr>
      <vt:lpstr>13-2 가중수익률</vt:lpstr>
      <vt:lpstr>13-3 산술평균기하평균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투자론</dc:title>
  <dc:subject>투자론</dc:subject>
  <dc:creator>이진호</dc:creator>
  <cp:keywords>투자론</cp:keywords>
  <dc:description>투자론 엑셀자료</dc:description>
  <cp:lastModifiedBy>이진호</cp:lastModifiedBy>
  <dcterms:created xsi:type="dcterms:W3CDTF">2024-08-30T01:47:31Z</dcterms:created>
  <dcterms:modified xsi:type="dcterms:W3CDTF">2025-01-18T14:22:23Z</dcterms:modified>
  <cp:category>투자론</cp:category>
</cp:coreProperties>
</file>